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Ben\OneDrive\ModernGraham\2016\"/>
    </mc:Choice>
  </mc:AlternateContent>
  <bookViews>
    <workbookView xWindow="0" yWindow="0" windowWidth="25200" windowHeight="11988" tabRatio="483"/>
  </bookViews>
  <sheets>
    <sheet name="Market Overview" sheetId="2" r:id="rId1"/>
    <sheet name="Watch List" sheetId="5" r:id="rId2"/>
    <sheet name="Latest Updates" sheetId="6" r:id="rId3"/>
    <sheet name="MG Universe" sheetId="1" r:id="rId4"/>
    <sheet name="DJIA" sheetId="3" r:id="rId5"/>
    <sheet name="S&amp;P 500" sheetId="4" r:id="rId6"/>
    <sheet name="Valuation Calculator" sheetId="8" r:id="rId7"/>
    <sheet name="Background" sheetId="9" r:id="rId8"/>
  </sheets>
  <definedNames>
    <definedName name="__Anonymous_Sheet_DB__1">'MG Universe'!$A$1:$P$469</definedName>
    <definedName name="_xlnm._FilterDatabase" localSheetId="3" hidden="1">'MG Universe'!$A$1:$R$555</definedName>
  </definedNames>
  <calcPr calcId="171026"/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R3" i="6"/>
  <c r="R2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B3" i="6"/>
  <c r="B4" i="8"/>
  <c r="A5" i="8" s="1"/>
  <c r="C67" i="8"/>
  <c r="C76" i="8"/>
  <c r="E54" i="8"/>
  <c r="F54" i="8"/>
  <c r="A50" i="8"/>
  <c r="A39" i="8"/>
  <c r="A52" i="8"/>
  <c r="A51" i="8"/>
  <c r="A41" i="8"/>
  <c r="D44" i="8"/>
  <c r="E44" i="8"/>
  <c r="F44" i="8"/>
  <c r="C35" i="8"/>
  <c r="D35" i="8"/>
  <c r="E35" i="8"/>
  <c r="F35" i="8"/>
  <c r="G35" i="8"/>
  <c r="H35" i="8"/>
  <c r="I35" i="8"/>
  <c r="J35" i="8"/>
  <c r="K35" i="8"/>
  <c r="L35" i="8"/>
  <c r="B35" i="8"/>
  <c r="C29" i="8"/>
  <c r="D29" i="8"/>
  <c r="E29" i="8"/>
  <c r="F29" i="8"/>
  <c r="G29" i="8"/>
  <c r="H29" i="8"/>
  <c r="I29" i="8"/>
  <c r="J29" i="8"/>
  <c r="K29" i="8"/>
  <c r="L29" i="8"/>
  <c r="B29" i="8"/>
  <c r="D40" i="8"/>
  <c r="E40" i="8"/>
  <c r="F40" i="8"/>
  <c r="C19" i="8"/>
  <c r="C20" i="8"/>
  <c r="C21" i="8"/>
  <c r="C22" i="8"/>
  <c r="C23" i="8"/>
  <c r="C24" i="8"/>
  <c r="C18" i="8"/>
  <c r="B15" i="3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B1" i="6"/>
  <c r="A1" i="6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2" i="4"/>
  <c r="R1" i="4"/>
  <c r="B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A1" i="4"/>
  <c r="B3" i="3"/>
  <c r="B4" i="3"/>
  <c r="B5" i="3"/>
  <c r="B6" i="3"/>
  <c r="B7" i="3"/>
  <c r="B8" i="3"/>
  <c r="B9" i="3"/>
  <c r="B10" i="3"/>
  <c r="B11" i="3"/>
  <c r="B12" i="3"/>
  <c r="B13" i="3"/>
  <c r="B1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B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A1" i="3"/>
  <c r="B8" i="2"/>
  <c r="B7" i="2"/>
  <c r="B6" i="2"/>
  <c r="B33" i="3"/>
  <c r="B21" i="2"/>
  <c r="E28" i="8"/>
  <c r="H28" i="8"/>
  <c r="D28" i="8"/>
  <c r="F28" i="8"/>
  <c r="E3" i="9" s="1"/>
  <c r="G28" i="8"/>
  <c r="C28" i="8"/>
  <c r="B28" i="8"/>
  <c r="C71" i="8"/>
  <c r="B36" i="8"/>
  <c r="E43" i="8"/>
  <c r="F43" i="8"/>
  <c r="B30" i="8"/>
  <c r="E42" i="8"/>
  <c r="F42" i="8"/>
  <c r="B31" i="8"/>
  <c r="E53" i="8"/>
  <c r="F53" i="8"/>
  <c r="C72" i="8"/>
  <c r="C75" i="8"/>
  <c r="C74" i="8"/>
  <c r="D46" i="8"/>
  <c r="D51" i="8"/>
  <c r="E51" i="8"/>
  <c r="F51" i="8"/>
  <c r="D41" i="8"/>
  <c r="E41" i="8"/>
  <c r="F41" i="8"/>
  <c r="D52" i="8"/>
  <c r="E52" i="8"/>
  <c r="F52" i="8"/>
  <c r="B32" i="2"/>
  <c r="C13" i="2"/>
  <c r="B31" i="2"/>
  <c r="B18" i="2"/>
  <c r="B19" i="2"/>
  <c r="B20" i="2" s="1"/>
  <c r="E26" i="2"/>
  <c r="C12" i="2"/>
  <c r="D13" i="2"/>
  <c r="C11" i="2"/>
  <c r="D12" i="2"/>
  <c r="E13" i="2"/>
  <c r="D11" i="2"/>
  <c r="D14" i="2" s="1"/>
  <c r="E12" i="2"/>
  <c r="B12" i="2" s="1"/>
  <c r="E11" i="2"/>
  <c r="D25" i="2"/>
  <c r="D26" i="2"/>
  <c r="D37" i="2"/>
  <c r="C24" i="2"/>
  <c r="E25" i="2"/>
  <c r="C35" i="2"/>
  <c r="C38" i="2" s="1"/>
  <c r="C37" i="2"/>
  <c r="B37" i="2" s="1"/>
  <c r="E35" i="2"/>
  <c r="E2" i="9"/>
  <c r="E55" i="8"/>
  <c r="F55" i="8" s="1"/>
  <c r="D56" i="8"/>
  <c r="D57" i="8"/>
  <c r="C60" i="8"/>
  <c r="C66" i="8" s="1"/>
  <c r="D45" i="8"/>
  <c r="E45" i="8" s="1"/>
  <c r="F45" i="8" s="1"/>
  <c r="C36" i="2"/>
  <c r="B36" i="2" s="1"/>
  <c r="B38" i="2" s="1"/>
  <c r="E37" i="2"/>
  <c r="E24" i="2"/>
  <c r="D35" i="2"/>
  <c r="D38" i="2" s="1"/>
  <c r="C25" i="2"/>
  <c r="B25" i="2" s="1"/>
  <c r="B27" i="2" s="1"/>
  <c r="D24" i="2"/>
  <c r="E36" i="2"/>
  <c r="C14" i="2"/>
  <c r="D36" i="2"/>
  <c r="E14" i="2"/>
  <c r="C26" i="2"/>
  <c r="B11" i="2"/>
  <c r="B13" i="2"/>
  <c r="B35" i="2"/>
  <c r="E27" i="2"/>
  <c r="C27" i="2"/>
  <c r="B24" i="2"/>
  <c r="C73" i="8"/>
  <c r="D47" i="8"/>
  <c r="D48" i="8"/>
  <c r="C64" i="8"/>
  <c r="D27" i="2"/>
  <c r="E38" i="2"/>
  <c r="B26" i="2"/>
  <c r="B14" i="2" l="1"/>
  <c r="E4" i="9"/>
  <c r="E5" i="9" s="1"/>
  <c r="E6" i="9" s="1"/>
  <c r="E7" i="9" s="1"/>
  <c r="C61" i="8" s="1"/>
  <c r="C62" i="8" s="1"/>
  <c r="C63" i="8" s="1"/>
  <c r="C65" i="8"/>
  <c r="E46" i="8"/>
  <c r="F46" i="8" s="1"/>
  <c r="C68" i="8" l="1"/>
</calcChain>
</file>

<file path=xl/sharedStrings.xml><?xml version="1.0" encoding="utf-8"?>
<sst xmlns="http://schemas.openxmlformats.org/spreadsheetml/2006/main" count="4316" uniqueCount="1257">
  <si>
    <t>ModernGraham</t>
  </si>
  <si>
    <t>Market Analysis</t>
  </si>
  <si>
    <t>Spreadsheet Edition:</t>
  </si>
  <si>
    <t>MG Universe</t>
  </si>
  <si>
    <t>Companies in the MG Universe</t>
  </si>
  <si>
    <t>Average PEmg</t>
  </si>
  <si>
    <t>Average % of MG Value</t>
  </si>
  <si>
    <t>Undervalued</t>
  </si>
  <si>
    <t>Fairly Valued</t>
  </si>
  <si>
    <t>Overvalued</t>
  </si>
  <si>
    <t>Defensive Investor Companies</t>
  </si>
  <si>
    <t>Enterprising Investor Companies</t>
  </si>
  <si>
    <t>Speculative Companies</t>
  </si>
  <si>
    <t>Total</t>
  </si>
  <si>
    <t>Dow Jones Industrial Average</t>
  </si>
  <si>
    <t>Current Price</t>
  </si>
  <si>
    <t>Divisor Estimate</t>
  </si>
  <si>
    <t>MG Value</t>
  </si>
  <si>
    <t>Price as a % of Value</t>
  </si>
  <si>
    <t>S&amp;P 500</t>
  </si>
  <si>
    <t>Enter Tickers in this Column</t>
  </si>
  <si>
    <t>MG Grade</t>
  </si>
  <si>
    <t>AMAT</t>
  </si>
  <si>
    <t>DD</t>
  </si>
  <si>
    <t>Ticker</t>
  </si>
  <si>
    <t>Name with Link</t>
  </si>
  <si>
    <t>Investor Type</t>
  </si>
  <si>
    <t>MG Opinion</t>
  </si>
  <si>
    <t>Full MG Rating</t>
  </si>
  <si>
    <t>Latest Valuation Date</t>
  </si>
  <si>
    <t>Recent Price</t>
  </si>
  <si>
    <t>Price as a percent of Value</t>
  </si>
  <si>
    <t>PEmg Ratio</t>
  </si>
  <si>
    <t>Div. Yield</t>
  </si>
  <si>
    <t>Beta</t>
  </si>
  <si>
    <t>Current Ratio</t>
  </si>
  <si>
    <t>NCAV</t>
  </si>
  <si>
    <t>Market-implied Growth Rate</t>
  </si>
  <si>
    <t>Consecutive Years of Dividend Growth</t>
  </si>
  <si>
    <t>Graham Number</t>
  </si>
  <si>
    <t>CF</t>
  </si>
  <si>
    <t>CF Industries Holdings, Inc.</t>
  </si>
  <si>
    <t>A</t>
  </si>
  <si>
    <t>D</t>
  </si>
  <si>
    <t>U</t>
  </si>
  <si>
    <t>DU</t>
  </si>
  <si>
    <t>DFS</t>
  </si>
  <si>
    <t>Discover Financial Services</t>
  </si>
  <si>
    <t>N/A</t>
  </si>
  <si>
    <t>DOV</t>
  </si>
  <si>
    <t>Dover Corp</t>
  </si>
  <si>
    <t>ITW</t>
  </si>
  <si>
    <t>Illinois Tool Works Inc.</t>
  </si>
  <si>
    <t>IVZ</t>
  </si>
  <si>
    <t>Invesco Ltd.</t>
  </si>
  <si>
    <t>JPM</t>
  </si>
  <si>
    <t>JPMorgan Chase &amp; Co.</t>
  </si>
  <si>
    <t>PBCT</t>
  </si>
  <si>
    <t>People's United Financial, Inc.</t>
  </si>
  <si>
    <t>E</t>
  </si>
  <si>
    <t>EU</t>
  </si>
  <si>
    <t>PNC</t>
  </si>
  <si>
    <t>PNC Financial Services Group Inc</t>
  </si>
  <si>
    <t>TROW</t>
  </si>
  <si>
    <t>T. Rowe Price Group Inc</t>
  </si>
  <si>
    <t>TRV</t>
  </si>
  <si>
    <t>Travelers Companies Inc</t>
  </si>
  <si>
    <t>UNM</t>
  </si>
  <si>
    <t>Unum Group</t>
  </si>
  <si>
    <t>USB</t>
  </si>
  <si>
    <t>U.S. Bancorp</t>
  </si>
  <si>
    <t>WDC</t>
  </si>
  <si>
    <t>Western Digital Corp</t>
  </si>
  <si>
    <t>WFC</t>
  </si>
  <si>
    <t>Wells Fargo &amp; Co</t>
  </si>
  <si>
    <t>WRK</t>
  </si>
  <si>
    <t>WestRock Co</t>
  </si>
  <si>
    <t>ADM</t>
  </si>
  <si>
    <t>Archer Daniels Midland Company</t>
  </si>
  <si>
    <t>A-</t>
  </si>
  <si>
    <t>O</t>
  </si>
  <si>
    <t>EO</t>
  </si>
  <si>
    <t>AIG</t>
  </si>
  <si>
    <t>American International Group Inc</t>
  </si>
  <si>
    <t>ALL</t>
  </si>
  <si>
    <t>Allstate Corp</t>
  </si>
  <si>
    <t>AMP</t>
  </si>
  <si>
    <t>Ameriprise Financial, Inc.</t>
  </si>
  <si>
    <t>BBT</t>
  </si>
  <si>
    <t>BB&amp;T Corporation</t>
  </si>
  <si>
    <t>BEN</t>
  </si>
  <si>
    <t>Franklin Resources, Inc.</t>
  </si>
  <si>
    <t>CB</t>
  </si>
  <si>
    <t>Chubb Ltd</t>
  </si>
  <si>
    <t>CMA</t>
  </si>
  <si>
    <t>Comerica Incorporated</t>
  </si>
  <si>
    <t>COF</t>
  </si>
  <si>
    <t>Capital One Financial Corp.</t>
  </si>
  <si>
    <t>F</t>
  </si>
  <si>
    <t>Ford Motor Company</t>
  </si>
  <si>
    <t>FITB</t>
  </si>
  <si>
    <t>Fifth Third Bancorp</t>
  </si>
  <si>
    <t>FMC</t>
  </si>
  <si>
    <t>FMC Corp</t>
  </si>
  <si>
    <t>GHC</t>
  </si>
  <si>
    <t>Graham Holdings Co</t>
  </si>
  <si>
    <t>HBAN</t>
  </si>
  <si>
    <t>Huntington Bancshares Incorporated</t>
  </si>
  <si>
    <t>KEY</t>
  </si>
  <si>
    <t>KeyCorp</t>
  </si>
  <si>
    <t>LM</t>
  </si>
  <si>
    <t>Legg Mason Inc</t>
  </si>
  <si>
    <t>LNC</t>
  </si>
  <si>
    <t>Lincoln National Corporation</t>
  </si>
  <si>
    <t>MET</t>
  </si>
  <si>
    <t>Metlife Inc</t>
  </si>
  <si>
    <t>NOV</t>
  </si>
  <si>
    <t>National-Oilwell Varco, Inc.</t>
  </si>
  <si>
    <t>PFG</t>
  </si>
  <si>
    <t>Principal Financial Group Inc</t>
  </si>
  <si>
    <t>PHM</t>
  </si>
  <si>
    <t>PulteGroup, Inc.</t>
  </si>
  <si>
    <t>STI</t>
  </si>
  <si>
    <t>SunTrust Banks, Inc.</t>
  </si>
  <si>
    <t>STT</t>
  </si>
  <si>
    <t>State Street Corp</t>
  </si>
  <si>
    <t>STWD</t>
  </si>
  <si>
    <t>Starwood Property Trust, Inc.</t>
  </si>
  <si>
    <t>TMK</t>
  </si>
  <si>
    <t>Torchmark Corporation</t>
  </si>
  <si>
    <t>UTX</t>
  </si>
  <si>
    <t>United Technologies Corporation</t>
  </si>
  <si>
    <t>DF</t>
  </si>
  <si>
    <t>WMT</t>
  </si>
  <si>
    <t>Wal-Mart Stores, Inc.</t>
  </si>
  <si>
    <t>WNR</t>
  </si>
  <si>
    <t>Western Refining, Inc.</t>
  </si>
  <si>
    <t>AFL</t>
  </si>
  <si>
    <t>AFLAC Incorporated</t>
  </si>
  <si>
    <t>A+</t>
  </si>
  <si>
    <t>AIZ</t>
  </si>
  <si>
    <t>Assurant, Inc.</t>
  </si>
  <si>
    <t>B</t>
  </si>
  <si>
    <t>ALB</t>
  </si>
  <si>
    <t>Albemarle Corporation</t>
  </si>
  <si>
    <t>DO</t>
  </si>
  <si>
    <t>AMGN</t>
  </si>
  <si>
    <t>Amgen, Inc.</t>
  </si>
  <si>
    <t>ANTM</t>
  </si>
  <si>
    <t>Anthem Inc</t>
  </si>
  <si>
    <t>EF</t>
  </si>
  <si>
    <t>AXP</t>
  </si>
  <si>
    <t>American Express Company</t>
  </si>
  <si>
    <t>BMS</t>
  </si>
  <si>
    <t>Bemis Company, Inc.</t>
  </si>
  <si>
    <t>CA</t>
  </si>
  <si>
    <t>CA, Inc.</t>
  </si>
  <si>
    <t>CINF</t>
  </si>
  <si>
    <t>Cincinnati Financial Corporation</t>
  </si>
  <si>
    <t>CSCO</t>
  </si>
  <si>
    <t>Cisco Systems, Inc.</t>
  </si>
  <si>
    <t>CSX</t>
  </si>
  <si>
    <t>CSX Corporation</t>
  </si>
  <si>
    <t>DGX</t>
  </si>
  <si>
    <t>Quest Diagnostics Inc</t>
  </si>
  <si>
    <t>FOXA</t>
  </si>
  <si>
    <t>Twenty-First Century Fox Inc</t>
  </si>
  <si>
    <t>GLW</t>
  </si>
  <si>
    <t>Corning Incorporated</t>
  </si>
  <si>
    <t>GPC</t>
  </si>
  <si>
    <t>Genuine Parts Company</t>
  </si>
  <si>
    <t>HOG</t>
  </si>
  <si>
    <t>Harley-Davidson Inc</t>
  </si>
  <si>
    <t>INTC</t>
  </si>
  <si>
    <t>Intel Corporation</t>
  </si>
  <si>
    <t>JWN</t>
  </si>
  <si>
    <t>Nordstrom, Inc.</t>
  </si>
  <si>
    <t>KIM</t>
  </si>
  <si>
    <t>Kimco Realty Corp</t>
  </si>
  <si>
    <t>KKR</t>
  </si>
  <si>
    <t>KKR &amp; Co. L.P.</t>
  </si>
  <si>
    <t>LEG</t>
  </si>
  <si>
    <t>Leggett &amp; Platt, Inc.</t>
  </si>
  <si>
    <t>LLTC</t>
  </si>
  <si>
    <t>Linear Technology Corporation</t>
  </si>
  <si>
    <t>LYB</t>
  </si>
  <si>
    <t>LyondellBasell Industries NV</t>
  </si>
  <si>
    <t>MCD</t>
  </si>
  <si>
    <t>McDonald's Corporation</t>
  </si>
  <si>
    <t>MCO</t>
  </si>
  <si>
    <t>Moody's Corporation</t>
  </si>
  <si>
    <t>MSI</t>
  </si>
  <si>
    <t>Motorola Solutions Inc</t>
  </si>
  <si>
    <t>NSC</t>
  </si>
  <si>
    <t>Norfolk Southern Corp.</t>
  </si>
  <si>
    <t>PCAR</t>
  </si>
  <si>
    <t>PACCAR Inc</t>
  </si>
  <si>
    <t>PFE</t>
  </si>
  <si>
    <t>Pfizer Inc.</t>
  </si>
  <si>
    <t>RL</t>
  </si>
  <si>
    <t>Ralph Lauren Corp</t>
  </si>
  <si>
    <t>STX</t>
  </si>
  <si>
    <t>Seagate Technology PLC</t>
  </si>
  <si>
    <t>SYMC</t>
  </si>
  <si>
    <t>Symantec Corporation</t>
  </si>
  <si>
    <t>TEL</t>
  </si>
  <si>
    <t>TE Connectivity Ltd</t>
  </si>
  <si>
    <t>VLO</t>
  </si>
  <si>
    <t>Valero Energy Corporation</t>
  </si>
  <si>
    <t>WY</t>
  </si>
  <si>
    <t>Weyerhaeuser Co</t>
  </si>
  <si>
    <t>YHOO</t>
  </si>
  <si>
    <t>Yahoo! Inc.</t>
  </si>
  <si>
    <t>ADP</t>
  </si>
  <si>
    <t>Automatic Data Processing</t>
  </si>
  <si>
    <t>B-</t>
  </si>
  <si>
    <t>AFG</t>
  </si>
  <si>
    <t>American Financial Group Inc</t>
  </si>
  <si>
    <t>Applied Materials, Inc.</t>
  </si>
  <si>
    <t>APD</t>
  </si>
  <si>
    <t>Air Products &amp; Chemicals, Inc.</t>
  </si>
  <si>
    <t>ASH</t>
  </si>
  <si>
    <t>Ashland Inc</t>
  </si>
  <si>
    <t>BA</t>
  </si>
  <si>
    <t>Boeing Co</t>
  </si>
  <si>
    <t>BBBY</t>
  </si>
  <si>
    <t>Bed Bath &amp; Beyond Inc.</t>
  </si>
  <si>
    <t>BWA</t>
  </si>
  <si>
    <t>BorgWarner Inc.</t>
  </si>
  <si>
    <t>CBS</t>
  </si>
  <si>
    <t>CBS Corporation</t>
  </si>
  <si>
    <t>CTAS</t>
  </si>
  <si>
    <t>Cintas Corporation</t>
  </si>
  <si>
    <t>CTSH</t>
  </si>
  <si>
    <t>Cognizant Technology Solutions Corp</t>
  </si>
  <si>
    <t>DE</t>
  </si>
  <si>
    <t>Deere &amp; Company</t>
  </si>
  <si>
    <t>FLR</t>
  </si>
  <si>
    <t>Fluor Corporation (NEW)</t>
  </si>
  <si>
    <t>FOSL</t>
  </si>
  <si>
    <t>Fossil Group Inc</t>
  </si>
  <si>
    <t>FTI</t>
  </si>
  <si>
    <t>FMC Technologies, Inc.</t>
  </si>
  <si>
    <t>GRMN</t>
  </si>
  <si>
    <t>Garmin Ltd.</t>
  </si>
  <si>
    <t>HCP</t>
  </si>
  <si>
    <t>HCP, Inc.</t>
  </si>
  <si>
    <t>IBM</t>
  </si>
  <si>
    <t>International Business Machines Corp.</t>
  </si>
  <si>
    <t>S</t>
  </si>
  <si>
    <t>SU</t>
  </si>
  <si>
    <t>IFF</t>
  </si>
  <si>
    <t>International Flavors &amp; Fragrances Inc</t>
  </si>
  <si>
    <t>JEC</t>
  </si>
  <si>
    <t>Jacobs Engineering Group Inc</t>
  </si>
  <si>
    <t>KORS</t>
  </si>
  <si>
    <t>Michael Kors Holdings Ltd</t>
  </si>
  <si>
    <t>LB</t>
  </si>
  <si>
    <t>L Brands Inc</t>
  </si>
  <si>
    <t>MJN</t>
  </si>
  <si>
    <t>Mead Johnson Nutrition CO</t>
  </si>
  <si>
    <t>MMC</t>
  </si>
  <si>
    <t>Marsh &amp; McLennan Companies, Inc.</t>
  </si>
  <si>
    <t>MMM</t>
  </si>
  <si>
    <t>3M Co</t>
  </si>
  <si>
    <t>NKE</t>
  </si>
  <si>
    <t>Nike Inc</t>
  </si>
  <si>
    <t>NTRS</t>
  </si>
  <si>
    <t>Northern Trust Corporation</t>
  </si>
  <si>
    <t>ROK</t>
  </si>
  <si>
    <t>Rockwell Automation</t>
  </si>
  <si>
    <t>RTN</t>
  </si>
  <si>
    <t>Raytheon Company</t>
  </si>
  <si>
    <t>SNA</t>
  </si>
  <si>
    <t>Snap-on Incorporated</t>
  </si>
  <si>
    <t>SNI</t>
  </si>
  <si>
    <t>Scripps Networks Interactive, Inc.</t>
  </si>
  <si>
    <t>SWKS</t>
  </si>
  <si>
    <t>Skyworks Solutions Inc</t>
  </si>
  <si>
    <t>TJX</t>
  </si>
  <si>
    <t>TJX Companies Inc</t>
  </si>
  <si>
    <t>TSO</t>
  </si>
  <si>
    <t>Tesoro Corporation</t>
  </si>
  <si>
    <t>TXN</t>
  </si>
  <si>
    <t>Texas Instruments Incorporated</t>
  </si>
  <si>
    <t>TXT</t>
  </si>
  <si>
    <t>Textron Inc.</t>
  </si>
  <si>
    <t>URBN</t>
  </si>
  <si>
    <t>Urban Outfitters, Inc.</t>
  </si>
  <si>
    <t>WFM</t>
  </si>
  <si>
    <t>Whole Foods Market, Inc.</t>
  </si>
  <si>
    <t>WYNN</t>
  </si>
  <si>
    <t>Wynn Resorts, Limited</t>
  </si>
  <si>
    <t>XEL</t>
  </si>
  <si>
    <t>Xcel Energy Inc</t>
  </si>
  <si>
    <t>AAN</t>
  </si>
  <si>
    <t>Aaron's, Inc.</t>
  </si>
  <si>
    <t>B+</t>
  </si>
  <si>
    <t>ARW</t>
  </si>
  <si>
    <t>Arrow Electronics, Inc.</t>
  </si>
  <si>
    <t>BK</t>
  </si>
  <si>
    <t>Bank of New York Mellon Corp</t>
  </si>
  <si>
    <t>BLK</t>
  </si>
  <si>
    <t>BlackRock, Inc.</t>
  </si>
  <si>
    <t>C</t>
  </si>
  <si>
    <t>Citigroup Inc</t>
  </si>
  <si>
    <t>CMI</t>
  </si>
  <si>
    <t>Cummins Inc.</t>
  </si>
  <si>
    <t>DHI</t>
  </si>
  <si>
    <t>D.R. Horton, Inc.</t>
  </si>
  <si>
    <t>DOW</t>
  </si>
  <si>
    <t>Dow Chemical Co</t>
  </si>
  <si>
    <t>EMN</t>
  </si>
  <si>
    <t>Eastman Chemical Company</t>
  </si>
  <si>
    <t>GPS</t>
  </si>
  <si>
    <t>Gap Inc</t>
  </si>
  <si>
    <t>GS</t>
  </si>
  <si>
    <t>Goldman Sachs Group Inc</t>
  </si>
  <si>
    <t>GWW</t>
  </si>
  <si>
    <t>W W Grainger Inc</t>
  </si>
  <si>
    <t>HP</t>
  </si>
  <si>
    <t>Helmerich &amp; Payne, Inc.</t>
  </si>
  <si>
    <t>JNJ</t>
  </si>
  <si>
    <t>Johnson &amp; Johnson</t>
  </si>
  <si>
    <t>LEN</t>
  </si>
  <si>
    <t>Lennar Corporation</t>
  </si>
  <si>
    <t>MAC</t>
  </si>
  <si>
    <t>Macerich Co</t>
  </si>
  <si>
    <t>MDT</t>
  </si>
  <si>
    <t>Medtronic PLC</t>
  </si>
  <si>
    <t>MTB</t>
  </si>
  <si>
    <t>M&amp;T Bank Corporation</t>
  </si>
  <si>
    <t>NTAP</t>
  </si>
  <si>
    <t>NetApp Inc.</t>
  </si>
  <si>
    <t>PH</t>
  </si>
  <si>
    <t>Parker-Hannifin Corp</t>
  </si>
  <si>
    <t>PWR</t>
  </si>
  <si>
    <t>Quanta Services Inc</t>
  </si>
  <si>
    <t>QCOM</t>
  </si>
  <si>
    <t>QUALCOMM, Inc.</t>
  </si>
  <si>
    <t>RHI</t>
  </si>
  <si>
    <t>Robert Half International Inc.</t>
  </si>
  <si>
    <t>ROST</t>
  </si>
  <si>
    <t>Ross Stores, Inc.</t>
  </si>
  <si>
    <t>UNP</t>
  </si>
  <si>
    <t>Union Pacific Corporation</t>
  </si>
  <si>
    <t>VFC</t>
  </si>
  <si>
    <t>VF Corp</t>
  </si>
  <si>
    <t>Agilent Technologies Inc</t>
  </si>
  <si>
    <t>AAPL</t>
  </si>
  <si>
    <t>Apple Inc.</t>
  </si>
  <si>
    <t>ADI</t>
  </si>
  <si>
    <t>Analog Devices, Inc.</t>
  </si>
  <si>
    <t>ADT</t>
  </si>
  <si>
    <t>ADT Corp</t>
  </si>
  <si>
    <t>ALLE</t>
  </si>
  <si>
    <t>Allegion PLC</t>
  </si>
  <si>
    <t>ANSS</t>
  </si>
  <si>
    <t>ANSYS, Inc.</t>
  </si>
  <si>
    <t>APH</t>
  </si>
  <si>
    <t>Amphenol Corporation</t>
  </si>
  <si>
    <t>ARLP</t>
  </si>
  <si>
    <t>Alliance Resource Partners, L.P.</t>
  </si>
  <si>
    <t>BAX</t>
  </si>
  <si>
    <t>Baxter International Inc</t>
  </si>
  <si>
    <t>BGS</t>
  </si>
  <si>
    <t>B&amp;G Foods, Inc.</t>
  </si>
  <si>
    <t>CCE</t>
  </si>
  <si>
    <t>Coca-Cola Enterprises Inc</t>
  </si>
  <si>
    <t>CERN</t>
  </si>
  <si>
    <t>Cerner Corporation</t>
  </si>
  <si>
    <t>COL</t>
  </si>
  <si>
    <t>Rockwell Collins, Inc.</t>
  </si>
  <si>
    <t>COP</t>
  </si>
  <si>
    <t>ConocoPhillips</t>
  </si>
  <si>
    <t>CTL</t>
  </si>
  <si>
    <t>Centurylink Inc</t>
  </si>
  <si>
    <t>SO</t>
  </si>
  <si>
    <t>DUK</t>
  </si>
  <si>
    <t>Duke Energy Corp</t>
  </si>
  <si>
    <t>EL</t>
  </si>
  <si>
    <t>Estee Lauder Companies Inc</t>
  </si>
  <si>
    <t>EMR</t>
  </si>
  <si>
    <t>Emerson Electric Co.</t>
  </si>
  <si>
    <t>EPD</t>
  </si>
  <si>
    <t>Enterprise Products Partners L.P.</t>
  </si>
  <si>
    <t>ETN</t>
  </si>
  <si>
    <t>Eaton Corporation, PLC Ordinary Shares</t>
  </si>
  <si>
    <t>EW</t>
  </si>
  <si>
    <t>Edwards Lifesciences Corp</t>
  </si>
  <si>
    <t>FB</t>
  </si>
  <si>
    <t>Facebook Inc</t>
  </si>
  <si>
    <t>HBI</t>
  </si>
  <si>
    <t>Hanesbrands Inc.</t>
  </si>
  <si>
    <t>HCN</t>
  </si>
  <si>
    <t>Welltower Inc</t>
  </si>
  <si>
    <t>HON</t>
  </si>
  <si>
    <t>Honeywell International Inc.</t>
  </si>
  <si>
    <t>HST</t>
  </si>
  <si>
    <t>Host Hotels and Resorts Inc</t>
  </si>
  <si>
    <t>INFY</t>
  </si>
  <si>
    <t>Infosys Ltd ADR</t>
  </si>
  <si>
    <t>IP</t>
  </si>
  <si>
    <t>International Paper Co</t>
  </si>
  <si>
    <t>IPG</t>
  </si>
  <si>
    <t>Interpublic Group of Companies Inc</t>
  </si>
  <si>
    <t>IRM</t>
  </si>
  <si>
    <t>Iron Mountain Inc</t>
  </si>
  <si>
    <t>JCI</t>
  </si>
  <si>
    <t>Johnson Controls Inc</t>
  </si>
  <si>
    <t>LOW</t>
  </si>
  <si>
    <t>Lowe's Companies, Inc.</t>
  </si>
  <si>
    <t>SF</t>
  </si>
  <si>
    <t>M</t>
  </si>
  <si>
    <t>Macy's, Inc.</t>
  </si>
  <si>
    <t>MA</t>
  </si>
  <si>
    <t>Mastercard Inc</t>
  </si>
  <si>
    <t>MCHP</t>
  </si>
  <si>
    <t>Microchip Technology Inc.</t>
  </si>
  <si>
    <t>MOS</t>
  </si>
  <si>
    <t>Mosaic Co</t>
  </si>
  <si>
    <t>MPC</t>
  </si>
  <si>
    <t>Marathon Petroleum Corp</t>
  </si>
  <si>
    <t>NAVI</t>
  </si>
  <si>
    <t>Navient Corp</t>
  </si>
  <si>
    <t>NEE</t>
  </si>
  <si>
    <t>NextEra Energy Inc</t>
  </si>
  <si>
    <t>NI</t>
  </si>
  <si>
    <t>NiSource Inc.</t>
  </si>
  <si>
    <t>NPK</t>
  </si>
  <si>
    <t>National Presto Industries Inc.</t>
  </si>
  <si>
    <t>NUE</t>
  </si>
  <si>
    <t>Nucor Corporation</t>
  </si>
  <si>
    <t>PAYX</t>
  </si>
  <si>
    <t>Paychex, Inc.</t>
  </si>
  <si>
    <t>PMD</t>
  </si>
  <si>
    <t>Psychemedics Corp.</t>
  </si>
  <si>
    <t>PRGO</t>
  </si>
  <si>
    <t>Perrigo Company plc Ordinary Shares</t>
  </si>
  <si>
    <t>PRU</t>
  </si>
  <si>
    <t>Prudential Financial Inc</t>
  </si>
  <si>
    <t>PSX</t>
  </si>
  <si>
    <t>Phillips 66</t>
  </si>
  <si>
    <t>R</t>
  </si>
  <si>
    <t>Ryder System, Inc.</t>
  </si>
  <si>
    <t>ROP</t>
  </si>
  <si>
    <t>Roper Technologies Inc</t>
  </si>
  <si>
    <t>SNDK</t>
  </si>
  <si>
    <t>SanDisk Corporation</t>
  </si>
  <si>
    <t>SPLS</t>
  </si>
  <si>
    <t>Staples, Inc.</t>
  </si>
  <si>
    <t>SWK</t>
  </si>
  <si>
    <t>Stanley Black &amp; Decker, Inc.</t>
  </si>
  <si>
    <t>TSS</t>
  </si>
  <si>
    <t>Total System Services, Inc.</t>
  </si>
  <si>
    <t>TWX</t>
  </si>
  <si>
    <t>Time Warner Inc</t>
  </si>
  <si>
    <t>V</t>
  </si>
  <si>
    <t>Visa Inc</t>
  </si>
  <si>
    <t>VAR</t>
  </si>
  <si>
    <t>Varian Medical Systems, Inc.</t>
  </si>
  <si>
    <t>VIAB</t>
  </si>
  <si>
    <t>Viacom, Inc.</t>
  </si>
  <si>
    <t>WAT</t>
  </si>
  <si>
    <t>Waters Corporation</t>
  </si>
  <si>
    <t>WYN</t>
  </si>
  <si>
    <t>Wyndham Worldwide Corporation</t>
  </si>
  <si>
    <t>XLNX</t>
  </si>
  <si>
    <t>Xilinx, Inc.</t>
  </si>
  <si>
    <t>XRX</t>
  </si>
  <si>
    <t>Xerox Corp</t>
  </si>
  <si>
    <t>XYL</t>
  </si>
  <si>
    <t>Xylem Inc</t>
  </si>
  <si>
    <t>ZBH</t>
  </si>
  <si>
    <t>Zimmer Biomet Holdings Inc</t>
  </si>
  <si>
    <t>ZTS</t>
  </si>
  <si>
    <t>Zoetis Inc</t>
  </si>
  <si>
    <t>AHL</t>
  </si>
  <si>
    <t>Aspen Insurance Holdings Limited</t>
  </si>
  <si>
    <t>C-</t>
  </si>
  <si>
    <t>ALGN</t>
  </si>
  <si>
    <t>Align Technology, Inc.</t>
  </si>
  <si>
    <t>AMCX</t>
  </si>
  <si>
    <t>AMC Networks Inc</t>
  </si>
  <si>
    <t>AMG</t>
  </si>
  <si>
    <t>Affiliated Managers Group, Inc.</t>
  </si>
  <si>
    <t>AN</t>
  </si>
  <si>
    <t>AutoNation, Inc.</t>
  </si>
  <si>
    <t>ARRS</t>
  </si>
  <si>
    <t>ARRIS International plc</t>
  </si>
  <si>
    <t>AVY</t>
  </si>
  <si>
    <t>Avery Dennison Corp</t>
  </si>
  <si>
    <t>BIIB</t>
  </si>
  <si>
    <t>Biogen Inc</t>
  </si>
  <si>
    <t>CAM</t>
  </si>
  <si>
    <t>Cameron International Corporation</t>
  </si>
  <si>
    <t>CAT</t>
  </si>
  <si>
    <t>Caterpillar Inc.</t>
  </si>
  <si>
    <t>CHK</t>
  </si>
  <si>
    <t>Chesapeake Energy Corporation</t>
  </si>
  <si>
    <t>CL</t>
  </si>
  <si>
    <t>Colgate-Palmolive Company</t>
  </si>
  <si>
    <t>CLX</t>
  </si>
  <si>
    <t>Clorox Co</t>
  </si>
  <si>
    <t>CMCSA</t>
  </si>
  <si>
    <t>Comcast Corporation</t>
  </si>
  <si>
    <t>CMG</t>
  </si>
  <si>
    <t>Chipotle Mexican Grill, Inc.</t>
  </si>
  <si>
    <t>CMS</t>
  </si>
  <si>
    <t>CMS Energy Corporation</t>
  </si>
  <si>
    <t>CNP</t>
  </si>
  <si>
    <t>CenterPoint Energy, Inc.</t>
  </si>
  <si>
    <t>CVC</t>
  </si>
  <si>
    <t>Cablevision Systems Corporation</t>
  </si>
  <si>
    <t>DAL</t>
  </si>
  <si>
    <t>Delta Air Lines, Inc.</t>
  </si>
  <si>
    <t>DG</t>
  </si>
  <si>
    <t>Dollar General Corp.</t>
  </si>
  <si>
    <t>DIS</t>
  </si>
  <si>
    <t>Walt Disney Co</t>
  </si>
  <si>
    <t>DISCA</t>
  </si>
  <si>
    <t>Discovery Communications Inc.</t>
  </si>
  <si>
    <t>DISCK</t>
  </si>
  <si>
    <t>DLPH</t>
  </si>
  <si>
    <t>Delphi Automotive PLC</t>
  </si>
  <si>
    <t>DPS</t>
  </si>
  <si>
    <t>Dr Pepper Snapple Group Inc.</t>
  </si>
  <si>
    <t>DVN</t>
  </si>
  <si>
    <t>Devon Energy Corp</t>
  </si>
  <si>
    <t>EQR</t>
  </si>
  <si>
    <t>Equity Residential</t>
  </si>
  <si>
    <t>ESRX</t>
  </si>
  <si>
    <t>Express Scripts Holding Company</t>
  </si>
  <si>
    <t>ESS</t>
  </si>
  <si>
    <t>Essex Property Trust Inc</t>
  </si>
  <si>
    <t>EXPE</t>
  </si>
  <si>
    <t>Expedia Inc</t>
  </si>
  <si>
    <t>FFIV</t>
  </si>
  <si>
    <t>F5 Networks, Inc.</t>
  </si>
  <si>
    <t>GGP</t>
  </si>
  <si>
    <t>General Growth Properties Inc</t>
  </si>
  <si>
    <t>GILD</t>
  </si>
  <si>
    <t>Gilead Sciences, Inc.</t>
  </si>
  <si>
    <t>GOOG</t>
  </si>
  <si>
    <t>Alphabet Inc</t>
  </si>
  <si>
    <t>GOOGL</t>
  </si>
  <si>
    <t>GT</t>
  </si>
  <si>
    <t>Goodyear Tire &amp; Rubber Co</t>
  </si>
  <si>
    <t>HAR</t>
  </si>
  <si>
    <t>Harman International Industries Inc./DE/</t>
  </si>
  <si>
    <t>HOT</t>
  </si>
  <si>
    <t>Starwood Hotels &amp; Resorts Worldwide Inc</t>
  </si>
  <si>
    <t>HRB</t>
  </si>
  <si>
    <t>H &amp; R Block Inc</t>
  </si>
  <si>
    <t>HSIC</t>
  </si>
  <si>
    <t>Henry Schein, Inc.</t>
  </si>
  <si>
    <t>HSY</t>
  </si>
  <si>
    <t>Hershey Co</t>
  </si>
  <si>
    <t>HUM</t>
  </si>
  <si>
    <t>Humana Inc</t>
  </si>
  <si>
    <t>IR</t>
  </si>
  <si>
    <t>Ingersoll-Rand PLC</t>
  </si>
  <si>
    <t>ISRG</t>
  </si>
  <si>
    <t>Intuitive Surgical, Inc.</t>
  </si>
  <si>
    <t>JBL</t>
  </si>
  <si>
    <t>Jabil Circuit, Inc.</t>
  </si>
  <si>
    <t>KMI</t>
  </si>
  <si>
    <t>Kinder Morgan Inc</t>
  </si>
  <si>
    <t>MAIN</t>
  </si>
  <si>
    <t>Main Street Capital Corporation</t>
  </si>
  <si>
    <t>MCK</t>
  </si>
  <si>
    <t>McKesson Corporation</t>
  </si>
  <si>
    <t>MLM</t>
  </si>
  <si>
    <t>Martin Marietta Materials, Inc.</t>
  </si>
  <si>
    <t>MMP</t>
  </si>
  <si>
    <t>Magellan Midstream Partners, L.P.</t>
  </si>
  <si>
    <t>MNST</t>
  </si>
  <si>
    <t>Monster Beverage Corporation</t>
  </si>
  <si>
    <t>MON</t>
  </si>
  <si>
    <t>Monsanto Company</t>
  </si>
  <si>
    <t>MRO</t>
  </si>
  <si>
    <t>Marathon Oil Corporation</t>
  </si>
  <si>
    <t>MYL</t>
  </si>
  <si>
    <t>Mylan NV</t>
  </si>
  <si>
    <t>NVDA</t>
  </si>
  <si>
    <t>NVIDIA Corporation</t>
  </si>
  <si>
    <t>PKI</t>
  </si>
  <si>
    <t>PerkinElmer, Inc.</t>
  </si>
  <si>
    <t>PNW</t>
  </si>
  <si>
    <t>Pinnacle West Capital Corporation</t>
  </si>
  <si>
    <t>PPG</t>
  </si>
  <si>
    <t>PPG Industries, Inc.</t>
  </si>
  <si>
    <t>PVH</t>
  </si>
  <si>
    <t>PVH Corp</t>
  </si>
  <si>
    <t>RAI</t>
  </si>
  <si>
    <t>Reynolds American, Inc.</t>
  </si>
  <si>
    <t>RF</t>
  </si>
  <si>
    <t>Regions Financial Corp</t>
  </si>
  <si>
    <t>SLM</t>
  </si>
  <si>
    <t>SLM Corp</t>
  </si>
  <si>
    <t>STJ</t>
  </si>
  <si>
    <t>St. Jude Medical, Inc.</t>
  </si>
  <si>
    <t>SYK</t>
  </si>
  <si>
    <t>Stryker Corporation</t>
  </si>
  <si>
    <t>SYY</t>
  </si>
  <si>
    <t>SYSCO Corporation</t>
  </si>
  <si>
    <t>TGNA</t>
  </si>
  <si>
    <t>Tegna Inc</t>
  </si>
  <si>
    <t>TRIP</t>
  </si>
  <si>
    <t>Tripadvisor Inc</t>
  </si>
  <si>
    <t>TSN</t>
  </si>
  <si>
    <t>Tyson Foods, Inc.</t>
  </si>
  <si>
    <t>TYC</t>
  </si>
  <si>
    <t>Tyco International plc (Ireland) Ordinary Share</t>
  </si>
  <si>
    <t>UA</t>
  </si>
  <si>
    <t>Under Armour Inc</t>
  </si>
  <si>
    <t>UHS</t>
  </si>
  <si>
    <t>Universal Health Services, Inc.</t>
  </si>
  <si>
    <t>URI</t>
  </si>
  <si>
    <t>United Rentals, Inc.</t>
  </si>
  <si>
    <t>VNO</t>
  </si>
  <si>
    <t>Vornado Realty Trust</t>
  </si>
  <si>
    <t>VTR</t>
  </si>
  <si>
    <t>Ventas, Inc.</t>
  </si>
  <si>
    <t>WHR</t>
  </si>
  <si>
    <t>Whirlpool Corporation</t>
  </si>
  <si>
    <t>WMB</t>
  </si>
  <si>
    <t>Williams Companies Inc</t>
  </si>
  <si>
    <t>WU</t>
  </si>
  <si>
    <t>The Western Union Company</t>
  </si>
  <si>
    <t>XL</t>
  </si>
  <si>
    <t>XL Group plc</t>
  </si>
  <si>
    <t>ACN</t>
  </si>
  <si>
    <t>Accenture Plc</t>
  </si>
  <si>
    <t>C+</t>
  </si>
  <si>
    <t>AEO</t>
  </si>
  <si>
    <t>American Eagle Outfitters</t>
  </si>
  <si>
    <t>AET</t>
  </si>
  <si>
    <t>Aetna Inc</t>
  </si>
  <si>
    <t>AGCO</t>
  </si>
  <si>
    <t>AGCO Corporation</t>
  </si>
  <si>
    <t>AKAM</t>
  </si>
  <si>
    <t>Akamai Technologies, Inc.</t>
  </si>
  <si>
    <t>AME</t>
  </si>
  <si>
    <t>AMETEK, Inc.</t>
  </si>
  <si>
    <t>AOS</t>
  </si>
  <si>
    <t>A. O. Smith Corp</t>
  </si>
  <si>
    <t>AVGO</t>
  </si>
  <si>
    <t>Broadcom Ltd</t>
  </si>
  <si>
    <t>BCR</t>
  </si>
  <si>
    <t>C R Bard Inc</t>
  </si>
  <si>
    <t>BXP</t>
  </si>
  <si>
    <t>Boston Properties, Inc.</t>
  </si>
  <si>
    <t>CI</t>
  </si>
  <si>
    <t>CIGNA Corporation</t>
  </si>
  <si>
    <t>COH</t>
  </si>
  <si>
    <t>Coach Inc</t>
  </si>
  <si>
    <t>E I Du Pont De Nemours And Co</t>
  </si>
  <si>
    <t>EXPD</t>
  </si>
  <si>
    <t>Expeditors International of Washington</t>
  </si>
  <si>
    <t>FAST</t>
  </si>
  <si>
    <t>Fastenal Company</t>
  </si>
  <si>
    <t>FDX</t>
  </si>
  <si>
    <t>FedEx Corporation</t>
  </si>
  <si>
    <t>FLIR</t>
  </si>
  <si>
    <t>FLIR Systems, Inc.</t>
  </si>
  <si>
    <t>FLS</t>
  </si>
  <si>
    <t>Flowserve Corp</t>
  </si>
  <si>
    <t>GMCR</t>
  </si>
  <si>
    <t>Keurig Green Mountain Inc</t>
  </si>
  <si>
    <t>HAS</t>
  </si>
  <si>
    <t>Hasbro, Inc.</t>
  </si>
  <si>
    <t>HRL</t>
  </si>
  <si>
    <t>Hormel Foods Corp</t>
  </si>
  <si>
    <t>KLAC</t>
  </si>
  <si>
    <t>KLA-Tencor Corp</t>
  </si>
  <si>
    <t>LRCX</t>
  </si>
  <si>
    <t>Lam Research Corporation</t>
  </si>
  <si>
    <t>MRK</t>
  </si>
  <si>
    <t>Merck &amp; Co., Inc.</t>
  </si>
  <si>
    <t>MSFT</t>
  </si>
  <si>
    <t>Microsoft Corporation</t>
  </si>
  <si>
    <t>MTSC</t>
  </si>
  <si>
    <t>MTS Systems Corporation</t>
  </si>
  <si>
    <t>MU</t>
  </si>
  <si>
    <t>Micron Technology, Inc.</t>
  </si>
  <si>
    <t>ORCL</t>
  </si>
  <si>
    <t>Oracle Corporation</t>
  </si>
  <si>
    <t>PDCO</t>
  </si>
  <si>
    <t>Patterson Companies, Inc.</t>
  </si>
  <si>
    <t>PGR</t>
  </si>
  <si>
    <t>Progressive Corp</t>
  </si>
  <si>
    <t>RAVN</t>
  </si>
  <si>
    <t>Raven Industries, Inc.</t>
  </si>
  <si>
    <t>SJM</t>
  </si>
  <si>
    <t>J M Smucker Co</t>
  </si>
  <si>
    <t>SLW</t>
  </si>
  <si>
    <t>Silver Wheaton Corp. (USA)</t>
  </si>
  <si>
    <t>TIF</t>
  </si>
  <si>
    <t>Tiffany &amp; Co.</t>
  </si>
  <si>
    <t>TSCO</t>
  </si>
  <si>
    <t>Tractor Supply Company</t>
  </si>
  <si>
    <t>WWW</t>
  </si>
  <si>
    <t>Wolverine World Wide, Inc.</t>
  </si>
  <si>
    <t>AAP</t>
  </si>
  <si>
    <t>Advance Auto Parts, Inc.</t>
  </si>
  <si>
    <t>ABC</t>
  </si>
  <si>
    <t>AmerisourceBergen Corp.</t>
  </si>
  <si>
    <t>ACIW</t>
  </si>
  <si>
    <t>ACI Worldwide Inc</t>
  </si>
  <si>
    <t>ACM</t>
  </si>
  <si>
    <t>Aecom</t>
  </si>
  <si>
    <t>AEE</t>
  </si>
  <si>
    <t>Ameren Corp</t>
  </si>
  <si>
    <t>AES</t>
  </si>
  <si>
    <t>AES Corp</t>
  </si>
  <si>
    <t>AMT</t>
  </si>
  <si>
    <t>American Tower Corp</t>
  </si>
  <si>
    <t>ANF</t>
  </si>
  <si>
    <t>Abercrombie &amp; Fitch Co.</t>
  </si>
  <si>
    <t>APA</t>
  </si>
  <si>
    <t>Apache Corporation</t>
  </si>
  <si>
    <t>APOL</t>
  </si>
  <si>
    <t>Apollo Education Group Inc</t>
  </si>
  <si>
    <t>ARE</t>
  </si>
  <si>
    <t>Alexandria Real Estate Equities Inc</t>
  </si>
  <si>
    <t>ATI</t>
  </si>
  <si>
    <t>Allegheny Technologies Incorporated</t>
  </si>
  <si>
    <t>AVB</t>
  </si>
  <si>
    <t>AvalonBay Communities Inc</t>
  </si>
  <si>
    <t>BMY</t>
  </si>
  <si>
    <t>Bristol-Myers Squibb Co</t>
  </si>
  <si>
    <t>CAG</t>
  </si>
  <si>
    <t>ConAgra Foods Inc</t>
  </si>
  <si>
    <t>CAH</t>
  </si>
  <si>
    <t>Cardinal Health Inc</t>
  </si>
  <si>
    <t>CCI</t>
  </si>
  <si>
    <t>Crown Castle International Corp</t>
  </si>
  <si>
    <t>CHRW</t>
  </si>
  <si>
    <t>C.H. Robinson Worldwide, Inc.</t>
  </si>
  <si>
    <t>CME</t>
  </si>
  <si>
    <t>CME Group Inc</t>
  </si>
  <si>
    <t>CNX</t>
  </si>
  <si>
    <t>CONSOL Energy Inc.</t>
  </si>
  <si>
    <t>COST</t>
  </si>
  <si>
    <t>Costco Wholesale Corporation</t>
  </si>
  <si>
    <t>Dominion Resources, Inc.</t>
  </si>
  <si>
    <t>DHR</t>
  </si>
  <si>
    <t>Danaher Corporation</t>
  </si>
  <si>
    <t>DLTR</t>
  </si>
  <si>
    <t>Dollar Tree, Inc.</t>
  </si>
  <si>
    <t>Diamond Offshore Drilling Inc</t>
  </si>
  <si>
    <t>DVA</t>
  </si>
  <si>
    <t>DaVita HealthCare Partners Inc</t>
  </si>
  <si>
    <t>EBAY</t>
  </si>
  <si>
    <t>eBay Inc</t>
  </si>
  <si>
    <t>EIX</t>
  </si>
  <si>
    <t>Edison International</t>
  </si>
  <si>
    <t>EQIX</t>
  </si>
  <si>
    <t>Equinix Inc</t>
  </si>
  <si>
    <t>ESV</t>
  </si>
  <si>
    <t>ENSCO PLC</t>
  </si>
  <si>
    <t>ETR</t>
  </si>
  <si>
    <t>Entergy Corporation</t>
  </si>
  <si>
    <t>FISV</t>
  </si>
  <si>
    <t>Fiserv Inc</t>
  </si>
  <si>
    <t>FTR</t>
  </si>
  <si>
    <t>Frontier Communications Corp</t>
  </si>
  <si>
    <t>GAS</t>
  </si>
  <si>
    <t>AGL Resources Inc.</t>
  </si>
  <si>
    <t>GD</t>
  </si>
  <si>
    <t>General Dynamics Corporation</t>
  </si>
  <si>
    <t>GE</t>
  </si>
  <si>
    <t>General Electric Company</t>
  </si>
  <si>
    <t>HCA</t>
  </si>
  <si>
    <t>HCA Holdings Inc</t>
  </si>
  <si>
    <t>KMB</t>
  </si>
  <si>
    <t>Kimberly Clark Corp</t>
  </si>
  <si>
    <t>LMT</t>
  </si>
  <si>
    <t>Lockheed Martin Corporation</t>
  </si>
  <si>
    <t>MAR</t>
  </si>
  <si>
    <t>Marriott International Inc</t>
  </si>
  <si>
    <t>MAS</t>
  </si>
  <si>
    <t>Masco Corp</t>
  </si>
  <si>
    <t>MDLZ</t>
  </si>
  <si>
    <t>Mondelez International Inc</t>
  </si>
  <si>
    <t>MHK</t>
  </si>
  <si>
    <t>Mohawk Industries, Inc.</t>
  </si>
  <si>
    <t>MUR</t>
  </si>
  <si>
    <t>Murphy Oil Corporation</t>
  </si>
  <si>
    <t>Realty Income Corp</t>
  </si>
  <si>
    <t>OXY</t>
  </si>
  <si>
    <t>Occidental Petroleum Corporation</t>
  </si>
  <si>
    <t>PCG</t>
  </si>
  <si>
    <t>PG&amp;E Corporation</t>
  </si>
  <si>
    <t>PLD</t>
  </si>
  <si>
    <t>Prologis Inc</t>
  </si>
  <si>
    <t>PNR</t>
  </si>
  <si>
    <t>Pentair plc. Ordinary Share</t>
  </si>
  <si>
    <t>POM</t>
  </si>
  <si>
    <t>Pepco Holdings, Inc.</t>
  </si>
  <si>
    <t>PSA</t>
  </si>
  <si>
    <t>Public Storage</t>
  </si>
  <si>
    <t>QEP</t>
  </si>
  <si>
    <t>QEP Resources Inc</t>
  </si>
  <si>
    <t>RBC</t>
  </si>
  <si>
    <t>Regal Beloit Corp</t>
  </si>
  <si>
    <t>RDC</t>
  </si>
  <si>
    <t>Rowan Companies PLC</t>
  </si>
  <si>
    <t>RRC</t>
  </si>
  <si>
    <t>Range Resources Corp.</t>
  </si>
  <si>
    <t>SHW</t>
  </si>
  <si>
    <t>Sherwin-Williams Co</t>
  </si>
  <si>
    <t>SLB</t>
  </si>
  <si>
    <t>Schlumberger Limited.</t>
  </si>
  <si>
    <t>TDC</t>
  </si>
  <si>
    <t>Teradata Corporation</t>
  </si>
  <si>
    <t>TDW</t>
  </si>
  <si>
    <t>Tidewater Inc.</t>
  </si>
  <si>
    <t>TE</t>
  </si>
  <si>
    <t>TECO Energy, Inc.</t>
  </si>
  <si>
    <t>UPS</t>
  </si>
  <si>
    <t>United Parcel Service, Inc.</t>
  </si>
  <si>
    <t>WBA</t>
  </si>
  <si>
    <t>Walgreens Boots Alliance Inc</t>
  </si>
  <si>
    <t>WIN</t>
  </si>
  <si>
    <t>Windstream Holdings, Inc.</t>
  </si>
  <si>
    <t>ABBV</t>
  </si>
  <si>
    <t>AbbVie Inc</t>
  </si>
  <si>
    <t>D+</t>
  </si>
  <si>
    <t>ABT</t>
  </si>
  <si>
    <t>Abbott Laboratories</t>
  </si>
  <si>
    <t>ACC</t>
  </si>
  <si>
    <t>American Campus Communities, Inc.</t>
  </si>
  <si>
    <t>ADS</t>
  </si>
  <si>
    <t>Alliance Data Systems Corporation</t>
  </si>
  <si>
    <t>AEP</t>
  </si>
  <si>
    <t>American Electric Power Company Inc</t>
  </si>
  <si>
    <t>AIV</t>
  </si>
  <si>
    <t>Apartment Investment and Management Co</t>
  </si>
  <si>
    <t>AJG</t>
  </si>
  <si>
    <t>Arthur J Gallagher &amp; Co</t>
  </si>
  <si>
    <t>AKRX</t>
  </si>
  <si>
    <t>Akorn, Inc.</t>
  </si>
  <si>
    <t>ALK</t>
  </si>
  <si>
    <t>Alaska Air Group, Inc.</t>
  </si>
  <si>
    <t>AVP</t>
  </si>
  <si>
    <t>Avon Products, Inc.</t>
  </si>
  <si>
    <t>AZO</t>
  </si>
  <si>
    <t>AutoZone, Inc.</t>
  </si>
  <si>
    <t>BBY</t>
  </si>
  <si>
    <t>Best Buy Co Inc</t>
  </si>
  <si>
    <t>BDX</t>
  </si>
  <si>
    <t>Becton Dickinson and Co</t>
  </si>
  <si>
    <t>BF.B</t>
  </si>
  <si>
    <t>Brown-Forman Corporation</t>
  </si>
  <si>
    <t>BLL</t>
  </si>
  <si>
    <t>Ball Corporation</t>
  </si>
  <si>
    <t>BRK.B</t>
  </si>
  <si>
    <t>Berkshire Hathaway Inc.</t>
  </si>
  <si>
    <t>CBG</t>
  </si>
  <si>
    <t>CBRE Group Inc</t>
  </si>
  <si>
    <t>CCL</t>
  </si>
  <si>
    <t>Carnival Corp</t>
  </si>
  <si>
    <t>CPB</t>
  </si>
  <si>
    <t>Campbell Soup Company</t>
  </si>
  <si>
    <t>CTXS</t>
  </si>
  <si>
    <t>Citrix Systems, Inc.</t>
  </si>
  <si>
    <t>CVS</t>
  </si>
  <si>
    <t>CVS Health Corp</t>
  </si>
  <si>
    <t>CVX</t>
  </si>
  <si>
    <t>Chevron Corporation</t>
  </si>
  <si>
    <t>DNB</t>
  </si>
  <si>
    <t>Dun &amp; Bradstreet Corp</t>
  </si>
  <si>
    <t>DRI</t>
  </si>
  <si>
    <t>Darden Restaurants, Inc.</t>
  </si>
  <si>
    <t>DTE</t>
  </si>
  <si>
    <t>DTE Energy Co</t>
  </si>
  <si>
    <t>ED</t>
  </si>
  <si>
    <t>Consolidated Edison, Inc.</t>
  </si>
  <si>
    <t>EMC</t>
  </si>
  <si>
    <t>EMC Corporation</t>
  </si>
  <si>
    <t>ES</t>
  </si>
  <si>
    <t>Eversource Energy</t>
  </si>
  <si>
    <t>EXC</t>
  </si>
  <si>
    <t>Exelon Corporation</t>
  </si>
  <si>
    <t>FE</t>
  </si>
  <si>
    <t>FirstEnergy Corp.</t>
  </si>
  <si>
    <t>FIS</t>
  </si>
  <si>
    <t>Fidelity National Information Services</t>
  </si>
  <si>
    <t>GIS</t>
  </si>
  <si>
    <t>General Mills, Inc.</t>
  </si>
  <si>
    <t>GM</t>
  </si>
  <si>
    <t>General Motors Company</t>
  </si>
  <si>
    <t>GME</t>
  </si>
  <si>
    <t>GameStop Corp.</t>
  </si>
  <si>
    <t>HAL</t>
  </si>
  <si>
    <t>Halliburton Company</t>
  </si>
  <si>
    <t>HD</t>
  </si>
  <si>
    <t>Home Depot Inc</t>
  </si>
  <si>
    <t>HES</t>
  </si>
  <si>
    <t>Hess Corp.</t>
  </si>
  <si>
    <t>HIG</t>
  </si>
  <si>
    <t>Hartford Financial Services Group Inc</t>
  </si>
  <si>
    <t>HPQ</t>
  </si>
  <si>
    <t>HP Inc</t>
  </si>
  <si>
    <t>HRS</t>
  </si>
  <si>
    <t>Harris Corporation</t>
  </si>
  <si>
    <t>K</t>
  </si>
  <si>
    <t>Kellogg Company</t>
  </si>
  <si>
    <t>KMX</t>
  </si>
  <si>
    <t>CarMax, Inc</t>
  </si>
  <si>
    <t>KO</t>
  </si>
  <si>
    <t>The Coca-Cola Co</t>
  </si>
  <si>
    <t>KR</t>
  </si>
  <si>
    <t>The Kroger Co</t>
  </si>
  <si>
    <t>KSS</t>
  </si>
  <si>
    <t>Kohl's Corporation</t>
  </si>
  <si>
    <t>KSU</t>
  </si>
  <si>
    <t>Kansas City Southern</t>
  </si>
  <si>
    <t>L</t>
  </si>
  <si>
    <t>Loews Corporation</t>
  </si>
  <si>
    <t>LH</t>
  </si>
  <si>
    <t>Laboratory Corp. of America Holdings</t>
  </si>
  <si>
    <t>LLL</t>
  </si>
  <si>
    <t>L-3 Communications Holdings, Inc.</t>
  </si>
  <si>
    <t>LLY</t>
  </si>
  <si>
    <t>Eli Lilly and Co</t>
  </si>
  <si>
    <t>LUV</t>
  </si>
  <si>
    <t>Southwest Airlines Co</t>
  </si>
  <si>
    <t>MAT</t>
  </si>
  <si>
    <t>Mattel, Inc.</t>
  </si>
  <si>
    <t>MKC</t>
  </si>
  <si>
    <t>McCormick &amp; Company, Incorporated</t>
  </si>
  <si>
    <t>MO</t>
  </si>
  <si>
    <t>Altria Group Inc</t>
  </si>
  <si>
    <t>MS</t>
  </si>
  <si>
    <t>Morgan Stanley</t>
  </si>
  <si>
    <t>NBL</t>
  </si>
  <si>
    <t>Noble Energy, Inc.</t>
  </si>
  <si>
    <t>NBR</t>
  </si>
  <si>
    <t>Nabors Industries Ltd.</t>
  </si>
  <si>
    <t>NE</t>
  </si>
  <si>
    <t>Noble Corporation Ordinary Shares (UK)</t>
  </si>
  <si>
    <t>NLSN</t>
  </si>
  <si>
    <t>Nielsen N.V. Ordinary Shares</t>
  </si>
  <si>
    <t>NNN</t>
  </si>
  <si>
    <t>National Retail Properties, Inc.</t>
  </si>
  <si>
    <t>NOC</t>
  </si>
  <si>
    <t>Northrop Grumman Corporation</t>
  </si>
  <si>
    <t>NRP</t>
  </si>
  <si>
    <t>Natural Resource Partners LP</t>
  </si>
  <si>
    <t>NWL</t>
  </si>
  <si>
    <t>Newell Rubbermaid Inc.</t>
  </si>
  <si>
    <t>NWSA</t>
  </si>
  <si>
    <t>News Corp</t>
  </si>
  <si>
    <t>OKE</t>
  </si>
  <si>
    <t>ONEOK, Inc.</t>
  </si>
  <si>
    <t>OLN</t>
  </si>
  <si>
    <t>Olin Corporation</t>
  </si>
  <si>
    <t>OMC</t>
  </si>
  <si>
    <t>Omnicom Group Inc.</t>
  </si>
  <si>
    <t>PBI</t>
  </si>
  <si>
    <t>Pitney Bowes Inc.</t>
  </si>
  <si>
    <t>PCLN</t>
  </si>
  <si>
    <t>Priceline Group Inc</t>
  </si>
  <si>
    <t>PEG</t>
  </si>
  <si>
    <t>Public Service Enterprise Group Inc.</t>
  </si>
  <si>
    <t>PEP</t>
  </si>
  <si>
    <t>PepsiCo, Inc.</t>
  </si>
  <si>
    <t>PG</t>
  </si>
  <si>
    <t>Procter &amp; Gamble Co</t>
  </si>
  <si>
    <t>PM</t>
  </si>
  <si>
    <t>Philip Morris International Inc.</t>
  </si>
  <si>
    <t>PPL</t>
  </si>
  <si>
    <t>PPL Corp</t>
  </si>
  <si>
    <t>PX</t>
  </si>
  <si>
    <t>Praxair, Inc.</t>
  </si>
  <si>
    <t>RSG</t>
  </si>
  <si>
    <t>Republic Services, Inc.</t>
  </si>
  <si>
    <t>SBUX</t>
  </si>
  <si>
    <t>Starbucks Corporation</t>
  </si>
  <si>
    <t>SCG</t>
  </si>
  <si>
    <t>SCANA Corporation</t>
  </si>
  <si>
    <t>SE</t>
  </si>
  <si>
    <t>Spectra Energy Corp.</t>
  </si>
  <si>
    <t>SLG</t>
  </si>
  <si>
    <t>SL Green Realty Corp</t>
  </si>
  <si>
    <t>Southern Co</t>
  </si>
  <si>
    <t>SPG</t>
  </si>
  <si>
    <t>Simon Property Group Inc</t>
  </si>
  <si>
    <t>SPH</t>
  </si>
  <si>
    <t>Suburban Propane Partners LP</t>
  </si>
  <si>
    <t>SRE</t>
  </si>
  <si>
    <t>Sempra Energy</t>
  </si>
  <si>
    <t>T</t>
  </si>
  <si>
    <t>AT&amp;T Inc.</t>
  </si>
  <si>
    <t>TGT</t>
  </si>
  <si>
    <t>Target Corporation</t>
  </si>
  <si>
    <t>TMO</t>
  </si>
  <si>
    <t>Thermo Fisher Scientific Inc.</t>
  </si>
  <si>
    <t>TWC</t>
  </si>
  <si>
    <t>Time Warner Cable Inc</t>
  </si>
  <si>
    <t>UNH</t>
  </si>
  <si>
    <t>UnitedHealth Group Inc</t>
  </si>
  <si>
    <t>VRSN</t>
  </si>
  <si>
    <t>Verisign, Inc.</t>
  </si>
  <si>
    <t>VZ</t>
  </si>
  <si>
    <t>Verizon Communications Inc.</t>
  </si>
  <si>
    <t>WEC</t>
  </si>
  <si>
    <t>WEC Energy Group Inc</t>
  </si>
  <si>
    <t>WM</t>
  </si>
  <si>
    <t>Waste Management, Inc.</t>
  </si>
  <si>
    <t>WR</t>
  </si>
  <si>
    <t>Westar Energy Inc</t>
  </si>
  <si>
    <t>XOM</t>
  </si>
  <si>
    <t>Exxon Mobil Corporation</t>
  </si>
  <si>
    <t>YUM</t>
  </si>
  <si>
    <t>Yum! Brands, Inc.</t>
  </si>
  <si>
    <t>ZION</t>
  </si>
  <si>
    <t>Zions Bancorporation</t>
  </si>
  <si>
    <t>AA</t>
  </si>
  <si>
    <t>Alcoa Inc</t>
  </si>
  <si>
    <t>AAL</t>
  </si>
  <si>
    <t>American Airlines Group Inc</t>
  </si>
  <si>
    <t>ACXM</t>
  </si>
  <si>
    <t>Acxiom Corporation</t>
  </si>
  <si>
    <t>ADBE</t>
  </si>
  <si>
    <t>Adobe Systems Incorporated</t>
  </si>
  <si>
    <t>ADSK</t>
  </si>
  <si>
    <t>Autodesk, Inc.</t>
  </si>
  <si>
    <t>AGN</t>
  </si>
  <si>
    <t>Allergan plc Ordinary Shares</t>
  </si>
  <si>
    <t>ALEX</t>
  </si>
  <si>
    <t>Alexander &amp; Baldwin Inc</t>
  </si>
  <si>
    <t>ALXN</t>
  </si>
  <si>
    <t>Alexion Pharmaceuticals, Inc.</t>
  </si>
  <si>
    <t>AMD</t>
  </si>
  <si>
    <t>Advanced Micro Devices, Inc.</t>
  </si>
  <si>
    <t>AMZN</t>
  </si>
  <si>
    <t>Amazon.com, Inc.</t>
  </si>
  <si>
    <t>AON</t>
  </si>
  <si>
    <t>Aon plc Class A Ordinary Shares (UK)</t>
  </si>
  <si>
    <t>APC</t>
  </si>
  <si>
    <t>Anadarko Petroleum Corporation</t>
  </si>
  <si>
    <t>ARG</t>
  </si>
  <si>
    <t>Airgas, Inc.</t>
  </si>
  <si>
    <t>BAC</t>
  </si>
  <si>
    <t>Bank of America Corp</t>
  </si>
  <si>
    <t>BHI</t>
  </si>
  <si>
    <t>Baker Hughes Incorporated</t>
  </si>
  <si>
    <t>BSX</t>
  </si>
  <si>
    <t>Boston Scientific Corporation</t>
  </si>
  <si>
    <t>BTU</t>
  </si>
  <si>
    <t>Peabody Energy Corporation</t>
  </si>
  <si>
    <t>CELG</t>
  </si>
  <si>
    <t>Celgene Corporation</t>
  </si>
  <si>
    <t>CLF</t>
  </si>
  <si>
    <t>Cliffs Natural Resources Inc</t>
  </si>
  <si>
    <t>COG</t>
  </si>
  <si>
    <t>Cabot Oil &amp; Gas Corporation</t>
  </si>
  <si>
    <t>CRM</t>
  </si>
  <si>
    <t>salesforce.com, inc.</t>
  </si>
  <si>
    <t>CSC</t>
  </si>
  <si>
    <t>Computer Sciences Corporation</t>
  </si>
  <si>
    <t>DNR</t>
  </si>
  <si>
    <t>Denbury Resources Inc.</t>
  </si>
  <si>
    <t>EA</t>
  </si>
  <si>
    <t>Electronic Arts Inc.</t>
  </si>
  <si>
    <t>ECL</t>
  </si>
  <si>
    <t>Ecolab Inc.</t>
  </si>
  <si>
    <t>EFX</t>
  </si>
  <si>
    <t>Equifax Inc.</t>
  </si>
  <si>
    <t>ENDP</t>
  </si>
  <si>
    <t>Endo International plc - Ordinary Shares</t>
  </si>
  <si>
    <t>EOG</t>
  </si>
  <si>
    <t>EOG Resources Inc</t>
  </si>
  <si>
    <t>EQT</t>
  </si>
  <si>
    <t>EQT Corporation</t>
  </si>
  <si>
    <t>ETFC</t>
  </si>
  <si>
    <t>E*TRADE Financial Corp</t>
  </si>
  <si>
    <t>FCX</t>
  </si>
  <si>
    <t>Freeport-McMoRan Inc</t>
  </si>
  <si>
    <t>FSLR</t>
  </si>
  <si>
    <t>First Solar, Inc.</t>
  </si>
  <si>
    <t>GG</t>
  </si>
  <si>
    <t>Goldcorp Inc. (USA)</t>
  </si>
  <si>
    <t>GNW</t>
  </si>
  <si>
    <t>Genworth Financial Inc</t>
  </si>
  <si>
    <t>ICE</t>
  </si>
  <si>
    <t>Intercontinental Exchange Inc</t>
  </si>
  <si>
    <t>INTU</t>
  </si>
  <si>
    <t>Intuit Inc.</t>
  </si>
  <si>
    <t>JNPR</t>
  </si>
  <si>
    <t>Juniper Networks, Inc.</t>
  </si>
  <si>
    <t>JOY</t>
  </si>
  <si>
    <t>Joy Global Inc.</t>
  </si>
  <si>
    <t>LUK</t>
  </si>
  <si>
    <t>Leucadia National Corp.</t>
  </si>
  <si>
    <t>LVLT</t>
  </si>
  <si>
    <t>Level 3 Communications, Inc.</t>
  </si>
  <si>
    <t>MHFI</t>
  </si>
  <si>
    <t>McGraw Hill Financial Inc</t>
  </si>
  <si>
    <t>MNK</t>
  </si>
  <si>
    <t>Mallinckrodt PLC</t>
  </si>
  <si>
    <t>NDAQ</t>
  </si>
  <si>
    <t>Nasdaq Inc</t>
  </si>
  <si>
    <t>NEM</t>
  </si>
  <si>
    <t>Newmont Mining Corp</t>
  </si>
  <si>
    <t>NFLX</t>
  </si>
  <si>
    <t>Netflix, Inc.</t>
  </si>
  <si>
    <t>NFX</t>
  </si>
  <si>
    <t>Newfield Exploration Co.</t>
  </si>
  <si>
    <t>OI</t>
  </si>
  <si>
    <t>Owens-Illinois Inc</t>
  </si>
  <si>
    <t>ORLY</t>
  </si>
  <si>
    <t>O'Reilly Automotive Inc</t>
  </si>
  <si>
    <t>PXD</t>
  </si>
  <si>
    <t>Pioneer Natural Resources</t>
  </si>
  <si>
    <t>QRVO</t>
  </si>
  <si>
    <t>Qorvo Inc</t>
  </si>
  <si>
    <t>REGN</t>
  </si>
  <si>
    <t>Regeneron Pharmaceuticals Inc</t>
  </si>
  <si>
    <t>RHT</t>
  </si>
  <si>
    <t>Red Hat Inc</t>
  </si>
  <si>
    <t>RIG</t>
  </si>
  <si>
    <t>Transocean LTD</t>
  </si>
  <si>
    <t>SCHW</t>
  </si>
  <si>
    <t>Charles Schwab Corp</t>
  </si>
  <si>
    <t>SEE</t>
  </si>
  <si>
    <t>Sealed Air Corp</t>
  </si>
  <si>
    <t>SRCL</t>
  </si>
  <si>
    <t>Stericycle Inc</t>
  </si>
  <si>
    <t>SWN</t>
  </si>
  <si>
    <t>Southwestern Energy Company</t>
  </si>
  <si>
    <t>TAP</t>
  </si>
  <si>
    <t>Molson Coors Brewing Company</t>
  </si>
  <si>
    <t>THC</t>
  </si>
  <si>
    <t>Tenet Healthcare Corp</t>
  </si>
  <si>
    <t>VMC</t>
  </si>
  <si>
    <t>Vulcan Materials Company</t>
  </si>
  <si>
    <t>VRTX</t>
  </si>
  <si>
    <t>Vertex Pharmaceuticals Incorporated</t>
  </si>
  <si>
    <t>WPX</t>
  </si>
  <si>
    <t>WPX Energy Inc</t>
  </si>
  <si>
    <t>X</t>
  </si>
  <si>
    <t>United States Steel Corporation</t>
  </si>
  <si>
    <t>XRAY</t>
  </si>
  <si>
    <t>DENTSPLY SIRONA Inc</t>
  </si>
  <si>
    <t>STZ</t>
  </si>
  <si>
    <t>Constellation Brands, Inc.</t>
  </si>
  <si>
    <t>Divisor</t>
  </si>
  <si>
    <t>ACE</t>
  </si>
  <si>
    <t>ALTR</t>
  </si>
  <si>
    <t>BRCM</t>
  </si>
  <si>
    <t>DTV</t>
  </si>
  <si>
    <t>FDO</t>
  </si>
  <si>
    <t>GCI</t>
  </si>
  <si>
    <t>HCBK</t>
  </si>
  <si>
    <t>HSP</t>
  </si>
  <si>
    <t>KRFT</t>
  </si>
  <si>
    <t>MWV</t>
  </si>
  <si>
    <t>NRG</t>
  </si>
  <si>
    <t>PCL</t>
  </si>
  <si>
    <t>PCP</t>
  </si>
  <si>
    <t>PLL</t>
  </si>
  <si>
    <t>RCL</t>
  </si>
  <si>
    <t>SIAL</t>
  </si>
  <si>
    <t>TEG</t>
  </si>
  <si>
    <t>XEC</t>
  </si>
  <si>
    <t>ZMH</t>
  </si>
  <si>
    <t>Valuation Calculator</t>
  </si>
  <si>
    <t>Calculator Expires:</t>
  </si>
  <si>
    <t>Today's Date:</t>
  </si>
  <si>
    <t>Input your data here:</t>
  </si>
  <si>
    <t>Basic Information</t>
  </si>
  <si>
    <t>Company Name</t>
  </si>
  <si>
    <t>Market Cap</t>
  </si>
  <si>
    <t>Balance Sheet</t>
  </si>
  <si>
    <t>Multiplier</t>
  </si>
  <si>
    <t>Note: If the balance sheet figures are listed as "in thousands," put 1000 here; if "in millions," put 1000000.</t>
  </si>
  <si>
    <t>Is this a Financial Company?</t>
  </si>
  <si>
    <t>No</t>
  </si>
  <si>
    <t>From the balance sheet</t>
  </si>
  <si>
    <t>Actual figure</t>
  </si>
  <si>
    <t>Total Current Assets</t>
  </si>
  <si>
    <t>Total Current Liabilities</t>
  </si>
  <si>
    <t>Long-Term Debt</t>
  </si>
  <si>
    <t>Total Assets</t>
  </si>
  <si>
    <t>Intangible Assets</t>
  </si>
  <si>
    <t>Total Liabilities</t>
  </si>
  <si>
    <t>Shares Outstanding (Diluted Average)</t>
  </si>
  <si>
    <t>Earnings Data</t>
  </si>
  <si>
    <t>Current Year Estimate</t>
  </si>
  <si>
    <t>1 Year Prior</t>
  </si>
  <si>
    <t>2 Years Prior</t>
  </si>
  <si>
    <t>3 Years Prior</t>
  </si>
  <si>
    <t>4 Years Prior</t>
  </si>
  <si>
    <t>5 Years Prior</t>
  </si>
  <si>
    <t>6 Years Prior</t>
  </si>
  <si>
    <t>7 Years Prior</t>
  </si>
  <si>
    <t>8 Years Prior</t>
  </si>
  <si>
    <t>9 Years Prior</t>
  </si>
  <si>
    <t>10 Years Prior</t>
  </si>
  <si>
    <t>Diluted EPS</t>
  </si>
  <si>
    <t>EPSmg</t>
  </si>
  <si>
    <t>Positive?</t>
  </si>
  <si>
    <t>Number of Positive Earnings Years in last 10:</t>
  </si>
  <si>
    <t>Number of Positive Earnings Years in last 5:</t>
  </si>
  <si>
    <t>Dividend Data</t>
  </si>
  <si>
    <t>Total Dividend Paid</t>
  </si>
  <si>
    <t>Paid Dividend?</t>
  </si>
  <si>
    <t>Number of Years Paying Dividend in last 10:</t>
  </si>
  <si>
    <t>Stage 1: Is this company suitable for the Defensive Investor or the Enterprising Investor?</t>
  </si>
  <si>
    <t>1. Adequate Size of the Enterprise</t>
  </si>
  <si>
    <t>Market Cap &gt; $2Bil</t>
  </si>
  <si>
    <t>2. Sufficiently Strong Financial Condition</t>
  </si>
  <si>
    <t>Current Ratio &gt; 2</t>
  </si>
  <si>
    <t>3. Earnings Stability</t>
  </si>
  <si>
    <t>Positive EPS for 10 years prior</t>
  </si>
  <si>
    <t>4. Dividend Record</t>
  </si>
  <si>
    <t>Dividend Payments for 10 years prior</t>
  </si>
  <si>
    <t>5. Earnings Growth</t>
  </si>
  <si>
    <t>Increase of 33% in EPS in past 10 years using 3 year averages at beginning and end</t>
  </si>
  <si>
    <t>6. Moderate PEmg Ratio</t>
  </si>
  <si>
    <t>PEmg &lt; 20</t>
  </si>
  <si>
    <t>7. Moderate Price to Assets</t>
  </si>
  <si>
    <t>PB Ratio &lt; 2.5 OR PB*PEmg &lt; 50</t>
  </si>
  <si>
    <t>Score</t>
  </si>
  <si>
    <t>Suitable for the Defensive Investor?</t>
  </si>
  <si>
    <t>1. Sufficiently Strong Financial Condition</t>
  </si>
  <si>
    <t>Current Ratio &gt; 1.5</t>
  </si>
  <si>
    <t>Debt to NCA &lt; 1.1</t>
  </si>
  <si>
    <t>Positive EPS for 5 years prior</t>
  </si>
  <si>
    <t>Currently Pays Dividend</t>
  </si>
  <si>
    <t>EPSmg greater than 5 years ago</t>
  </si>
  <si>
    <t>Suitable for the Enterprising Investor?</t>
  </si>
  <si>
    <t>Stage 2: Determination of Intrinsic Value</t>
  </si>
  <si>
    <t>MG Growth Estimate</t>
  </si>
  <si>
    <t>Opinion</t>
  </si>
  <si>
    <t>MG Value based on 3% Growth</t>
  </si>
  <si>
    <t>MG Value based on 0% Growth</t>
  </si>
  <si>
    <t>Market Implied Growth Rate</t>
  </si>
  <si>
    <t>% of Intrinsic Value</t>
  </si>
  <si>
    <t>Stage 3: Information for Further Research</t>
  </si>
  <si>
    <t>Net Current Asset Value (NCAV)</t>
  </si>
  <si>
    <t>PEmg</t>
  </si>
  <si>
    <t>PB Ratio</t>
  </si>
  <si>
    <t>Dividend Yield</t>
  </si>
  <si>
    <t>Yes</t>
  </si>
  <si>
    <t>EPSgrowth</t>
  </si>
  <si>
    <t>Current EPSmg</t>
  </si>
  <si>
    <t>5 years prior EPSmg</t>
  </si>
  <si>
    <t>Total Growth</t>
  </si>
  <si>
    <t>Average Growth</t>
  </si>
  <si>
    <t>Safety Margin 0.75</t>
  </si>
  <si>
    <t>Growth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</si>
</sst>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</numFmts>
  <fonts count="16" x14ac:knownFonts="1"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48"/>
      <color indexed="8"/>
      <name val="Calibri"/>
      <family val="2"/>
    </font>
    <font>
      <sz val="18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8"/>
      <color rgb="FFFF0000"/>
      <name val="Calibri"/>
      <family val="2"/>
    </font>
    <font>
      <sz val="12.1"/>
      <color rgb="FF000000"/>
      <name val="Verdana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2" fillId="0" borderId="0" xfId="0" applyFont="1"/>
    <xf numFmtId="14" fontId="0" fillId="0" borderId="0" xfId="0" applyNumberFormat="1" applyBorder="1"/>
    <xf numFmtId="8" fontId="0" fillId="0" borderId="0" xfId="0" applyNumberFormat="1" applyBorder="1"/>
    <xf numFmtId="10" fontId="0" fillId="0" borderId="0" xfId="0" applyNumberFormat="1" applyBorder="1"/>
    <xf numFmtId="8" fontId="0" fillId="0" borderId="0" xfId="0" applyNumberFormat="1"/>
    <xf numFmtId="2" fontId="0" fillId="0" borderId="0" xfId="0" applyNumberFormat="1"/>
    <xf numFmtId="10" fontId="0" fillId="0" borderId="0" xfId="4" applyNumberFormat="1" applyFont="1"/>
    <xf numFmtId="0" fontId="0" fillId="0" borderId="5" xfId="0" applyBorder="1"/>
    <xf numFmtId="0" fontId="0" fillId="0" borderId="6" xfId="0" applyBorder="1"/>
    <xf numFmtId="2" fontId="0" fillId="0" borderId="0" xfId="0" applyNumberFormat="1" applyBorder="1"/>
    <xf numFmtId="10" fontId="0" fillId="0" borderId="0" xfId="4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0" xfId="3" applyFont="1"/>
    <xf numFmtId="0" fontId="8" fillId="0" borderId="1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14" fontId="0" fillId="0" borderId="0" xfId="0" applyNumberFormat="1"/>
    <xf numFmtId="44" fontId="0" fillId="0" borderId="10" xfId="3" applyFont="1" applyBorder="1"/>
    <xf numFmtId="10" fontId="0" fillId="0" borderId="10" xfId="4" applyNumberFormat="1" applyFont="1" applyBorder="1"/>
    <xf numFmtId="0" fontId="8" fillId="0" borderId="0" xfId="0" applyFont="1" applyFill="1" applyBorder="1" applyAlignment="1">
      <alignment wrapText="1"/>
    </xf>
    <xf numFmtId="43" fontId="0" fillId="0" borderId="0" xfId="2" applyFont="1" applyBorder="1"/>
    <xf numFmtId="164" fontId="0" fillId="0" borderId="0" xfId="2" applyNumberFormat="1" applyFont="1" applyBorder="1"/>
    <xf numFmtId="0" fontId="2" fillId="0" borderId="10" xfId="0" applyFont="1" applyBorder="1" applyAlignment="1">
      <alignment wrapText="1"/>
    </xf>
    <xf numFmtId="14" fontId="2" fillId="0" borderId="10" xfId="0" applyNumberFormat="1" applyFont="1" applyBorder="1" applyAlignment="1">
      <alignment wrapText="1"/>
    </xf>
    <xf numFmtId="44" fontId="2" fillId="0" borderId="10" xfId="3" applyFont="1" applyBorder="1" applyAlignment="1">
      <alignment wrapText="1"/>
    </xf>
    <xf numFmtId="10" fontId="2" fillId="0" borderId="10" xfId="4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10" xfId="0" applyFont="1" applyFill="1" applyBorder="1" applyAlignment="1">
      <alignment wrapText="1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right" wrapText="1"/>
    </xf>
    <xf numFmtId="8" fontId="8" fillId="0" borderId="1" xfId="0" applyNumberFormat="1" applyFont="1" applyBorder="1" applyAlignment="1">
      <alignment horizontal="right" wrapText="1"/>
    </xf>
    <xf numFmtId="10" fontId="0" fillId="0" borderId="0" xfId="0" applyNumberFormat="1"/>
    <xf numFmtId="10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10" fontId="8" fillId="0" borderId="0" xfId="0" applyNumberFormat="1" applyFont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4" fontId="0" fillId="0" borderId="14" xfId="3" applyFont="1" applyBorder="1" applyAlignment="1">
      <alignment horizontal="center"/>
    </xf>
    <xf numFmtId="43" fontId="0" fillId="0" borderId="16" xfId="2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3" xfId="0" applyFont="1" applyBorder="1"/>
    <xf numFmtId="0" fontId="0" fillId="0" borderId="15" xfId="0" applyFont="1" applyBorder="1"/>
    <xf numFmtId="44" fontId="0" fillId="0" borderId="19" xfId="3" applyFont="1" applyBorder="1"/>
    <xf numFmtId="0" fontId="0" fillId="0" borderId="19" xfId="0" applyFont="1" applyBorder="1"/>
    <xf numFmtId="0" fontId="0" fillId="0" borderId="16" xfId="0" applyFont="1" applyBorder="1"/>
    <xf numFmtId="0" fontId="0" fillId="0" borderId="17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Font="1" applyBorder="1"/>
    <xf numFmtId="44" fontId="0" fillId="0" borderId="0" xfId="3" applyFont="1" applyBorder="1"/>
    <xf numFmtId="0" fontId="0" fillId="0" borderId="0" xfId="0" applyFont="1" applyFill="1" applyBorder="1"/>
    <xf numFmtId="0" fontId="0" fillId="0" borderId="0" xfId="3" applyNumberFormat="1" applyFont="1" applyBorder="1"/>
    <xf numFmtId="0" fontId="0" fillId="2" borderId="10" xfId="0" applyFont="1" applyFill="1" applyBorder="1" applyAlignment="1">
      <alignment horizontal="left"/>
    </xf>
    <xf numFmtId="44" fontId="0" fillId="2" borderId="10" xfId="3" applyFont="1" applyFill="1" applyBorder="1" applyAlignment="1">
      <alignment horizontal="left"/>
    </xf>
    <xf numFmtId="0" fontId="0" fillId="2" borderId="18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44" fontId="0" fillId="2" borderId="10" xfId="3" applyFont="1" applyFill="1" applyBorder="1" applyAlignment="1">
      <alignment horizontal="center"/>
    </xf>
    <xf numFmtId="43" fontId="0" fillId="2" borderId="19" xfId="2" applyFont="1" applyFill="1" applyBorder="1" applyAlignment="1">
      <alignment horizontal="center"/>
    </xf>
    <xf numFmtId="8" fontId="0" fillId="2" borderId="10" xfId="3" applyNumberFormat="1" applyFont="1" applyFill="1" applyBorder="1"/>
    <xf numFmtId="8" fontId="0" fillId="2" borderId="14" xfId="3" applyNumberFormat="1" applyFont="1" applyFill="1" applyBorder="1"/>
    <xf numFmtId="44" fontId="0" fillId="2" borderId="10" xfId="3" applyFont="1" applyFill="1" applyBorder="1"/>
    <xf numFmtId="44" fontId="0" fillId="2" borderId="14" xfId="3" applyFont="1" applyFill="1" applyBorder="1"/>
    <xf numFmtId="0" fontId="9" fillId="0" borderId="0" xfId="0" applyFont="1"/>
    <xf numFmtId="0" fontId="9" fillId="0" borderId="0" xfId="0" applyFont="1" applyBorder="1" applyAlignment="1">
      <alignment wrapText="1"/>
    </xf>
    <xf numFmtId="44" fontId="9" fillId="0" borderId="0" xfId="0" applyNumberFormat="1" applyFont="1" applyBorder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vertical="center" wrapText="1"/>
    </xf>
    <xf numFmtId="10" fontId="9" fillId="0" borderId="0" xfId="0" applyNumberFormat="1" applyFont="1" applyBorder="1" applyAlignment="1">
      <alignment horizontal="right" wrapText="1"/>
    </xf>
    <xf numFmtId="43" fontId="9" fillId="0" borderId="0" xfId="0" applyNumberFormat="1" applyFont="1" applyBorder="1" applyAlignment="1">
      <alignment horizontal="right" wrapText="1"/>
    </xf>
    <xf numFmtId="8" fontId="9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8" fontId="10" fillId="0" borderId="0" xfId="0" applyNumberFormat="1" applyFont="1" applyBorder="1" applyAlignment="1">
      <alignment horizontal="right" wrapText="1"/>
    </xf>
    <xf numFmtId="43" fontId="0" fillId="0" borderId="0" xfId="0" applyNumberFormat="1"/>
    <xf numFmtId="0" fontId="10" fillId="0" borderId="0" xfId="0" applyFont="1" applyBorder="1" applyAlignment="1">
      <alignment vertic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2" borderId="10" xfId="0" applyFill="1" applyBorder="1"/>
    <xf numFmtId="0" fontId="2" fillId="0" borderId="10" xfId="0" applyFont="1" applyBorder="1"/>
    <xf numFmtId="0" fontId="8" fillId="0" borderId="22" xfId="0" applyFont="1" applyBorder="1" applyAlignment="1">
      <alignment wrapText="1"/>
    </xf>
    <xf numFmtId="0" fontId="3" fillId="0" borderId="22" xfId="1" applyBorder="1" applyAlignment="1">
      <alignment wrapText="1"/>
    </xf>
    <xf numFmtId="14" fontId="8" fillId="0" borderId="22" xfId="0" applyNumberFormat="1" applyFont="1" applyBorder="1" applyAlignment="1">
      <alignment horizontal="right" wrapText="1"/>
    </xf>
    <xf numFmtId="8" fontId="8" fillId="0" borderId="22" xfId="0" applyNumberFormat="1" applyFont="1" applyBorder="1" applyAlignment="1">
      <alignment horizontal="right" wrapText="1"/>
    </xf>
    <xf numFmtId="10" fontId="8" fillId="0" borderId="22" xfId="0" applyNumberFormat="1" applyFont="1" applyBorder="1" applyAlignment="1">
      <alignment horizontal="right" wrapText="1"/>
    </xf>
    <xf numFmtId="0" fontId="8" fillId="0" borderId="22" xfId="0" applyFont="1" applyBorder="1" applyAlignment="1">
      <alignment horizontal="right" wrapText="1"/>
    </xf>
    <xf numFmtId="0" fontId="8" fillId="0" borderId="22" xfId="0" applyFont="1" applyBorder="1" applyAlignment="1">
      <alignment horizontal="center" wrapText="1"/>
    </xf>
    <xf numFmtId="14" fontId="0" fillId="0" borderId="10" xfId="3" applyNumberFormat="1" applyFont="1" applyBorder="1"/>
    <xf numFmtId="2" fontId="2" fillId="0" borderId="10" xfId="0" applyNumberFormat="1" applyFont="1" applyBorder="1" applyAlignment="1">
      <alignment wrapText="1"/>
    </xf>
    <xf numFmtId="2" fontId="0" fillId="0" borderId="10" xfId="4" applyNumberFormat="1" applyFont="1" applyBorder="1"/>
    <xf numFmtId="2" fontId="0" fillId="0" borderId="10" xfId="0" applyNumberFormat="1" applyBorder="1"/>
    <xf numFmtId="2" fontId="0" fillId="0" borderId="10" xfId="3" applyNumberFormat="1" applyFont="1" applyBorder="1"/>
    <xf numFmtId="1" fontId="2" fillId="0" borderId="10" xfId="0" applyNumberFormat="1" applyFont="1" applyBorder="1" applyAlignment="1">
      <alignment wrapText="1"/>
    </xf>
    <xf numFmtId="1" fontId="0" fillId="0" borderId="10" xfId="3" applyNumberFormat="1" applyFont="1" applyBorder="1"/>
    <xf numFmtId="1" fontId="0" fillId="0" borderId="10" xfId="0" applyNumberFormat="1" applyBorder="1"/>
    <xf numFmtId="1" fontId="0" fillId="0" borderId="0" xfId="0" applyNumberFormat="1"/>
    <xf numFmtId="0" fontId="7" fillId="0" borderId="0" xfId="0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3" fillId="0" borderId="10" xfId="1" applyBorder="1" applyAlignment="1">
      <alignment wrapText="1"/>
    </xf>
    <xf numFmtId="0" fontId="13" fillId="3" borderId="10" xfId="0" applyFont="1" applyFill="1" applyBorder="1" applyAlignment="1">
      <alignment wrapText="1"/>
    </xf>
    <xf numFmtId="14" fontId="14" fillId="0" borderId="10" xfId="0" applyNumberFormat="1" applyFont="1" applyBorder="1" applyAlignment="1">
      <alignment horizontal="right" wrapText="1"/>
    </xf>
    <xf numFmtId="8" fontId="14" fillId="0" borderId="10" xfId="0" applyNumberFormat="1" applyFont="1" applyBorder="1" applyAlignment="1">
      <alignment horizontal="right" wrapText="1"/>
    </xf>
    <xf numFmtId="10" fontId="14" fillId="0" borderId="10" xfId="0" applyNumberFormat="1" applyFont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  <xf numFmtId="0" fontId="14" fillId="0" borderId="10" xfId="0" applyFont="1" applyBorder="1" applyAlignment="1">
      <alignment horizontal="center" wrapText="1"/>
    </xf>
    <xf numFmtId="4" fontId="14" fillId="0" borderId="10" xfId="0" applyNumberFormat="1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14" fontId="15" fillId="0" borderId="10" xfId="0" applyNumberFormat="1" applyFont="1" applyBorder="1" applyAlignment="1">
      <alignment horizontal="right" wrapText="1"/>
    </xf>
    <xf numFmtId="8" fontId="15" fillId="0" borderId="10" xfId="0" applyNumberFormat="1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3" fillId="3" borderId="10" xfId="0" applyFont="1" applyFill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0" fillId="0" borderId="23" xfId="0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oderngraham.com/2015/07/23/c-h-robinson-worldwide-inc-analysis-2015-update-chrw/" TargetMode="External"/><Relationship Id="rId299" Type="http://schemas.openxmlformats.org/officeDocument/2006/relationships/hyperlink" Target="http://www.moderngraham.com/2016/01/07/l-brands-inc-valuation-january-2016-update-lb/" TargetMode="External"/><Relationship Id="rId21" Type="http://schemas.openxmlformats.org/officeDocument/2006/relationships/hyperlink" Target="http://www.moderngraham.com/2015/05/27/adt-stock-analysis-2015-annual-update-adt/" TargetMode="External"/><Relationship Id="rId63" Type="http://schemas.openxmlformats.org/officeDocument/2006/relationships/hyperlink" Target="http://www.moderngraham.com/2016/01/04/amphenol-corporation-valuation-january-2016-update-aph/" TargetMode="External"/><Relationship Id="rId159" Type="http://schemas.openxmlformats.org/officeDocument/2006/relationships/hyperlink" Target="http://www.moderngraham.com/2015/06/02/discovery-communications-analysis-2015-annual-update-disca/" TargetMode="External"/><Relationship Id="rId324" Type="http://schemas.openxmlformats.org/officeDocument/2006/relationships/hyperlink" Target="http://www.moderngraham.com/2015/05/10/mckesson-corporation-annual-valuation-2015-mck/" TargetMode="External"/><Relationship Id="rId366" Type="http://schemas.openxmlformats.org/officeDocument/2006/relationships/hyperlink" Target="http://www.moderngraham.com/2015/11/05/northrop-grumman-corporation-valuation-november-2015-update-noc/" TargetMode="External"/><Relationship Id="rId531" Type="http://schemas.openxmlformats.org/officeDocument/2006/relationships/hyperlink" Target="http://www.moderngraham.com/2015/08/06/western-union-company-analysis-2015-update-wu/" TargetMode="External"/><Relationship Id="rId170" Type="http://schemas.openxmlformats.org/officeDocument/2006/relationships/hyperlink" Target="http://www.moderngraham.com/2015/01/24/dte-energy-holding-company-annual-valuation-2015-dte/" TargetMode="External"/><Relationship Id="rId226" Type="http://schemas.openxmlformats.org/officeDocument/2006/relationships/hyperlink" Target="http://www.moderngraham.com/2015/01/26/gilead-sciences-inc-annual-valuation-2015-gild/" TargetMode="External"/><Relationship Id="rId433" Type="http://schemas.openxmlformats.org/officeDocument/2006/relationships/hyperlink" Target="http://www.moderngraham.com/2016/01/26/roper-technologies-inc-valuation-january-2016-update-rop/" TargetMode="External"/><Relationship Id="rId268" Type="http://schemas.openxmlformats.org/officeDocument/2006/relationships/hyperlink" Target="http://www.moderngraham.com/2015/11/18/intel-corp-valuation-november-2015-update-intc/" TargetMode="External"/><Relationship Id="rId475" Type="http://schemas.openxmlformats.org/officeDocument/2006/relationships/hyperlink" Target="http://www.moderngraham.com/2015/12/10/te-connectivity-ltd-valuation-december-2015-update-tel/" TargetMode="External"/><Relationship Id="rId32" Type="http://schemas.openxmlformats.org/officeDocument/2006/relationships/hyperlink" Target="http://www.moderngraham.com/2016/02/16/american-international-group-inc-stock-valuation-february-2016-aig/" TargetMode="External"/><Relationship Id="rId74" Type="http://schemas.openxmlformats.org/officeDocument/2006/relationships/hyperlink" Target="http://www.moderngraham.com/2015/01/24/avon-products-inc-annual-valuation-2015-avp/" TargetMode="External"/><Relationship Id="rId128" Type="http://schemas.openxmlformats.org/officeDocument/2006/relationships/hyperlink" Target="http://www.moderngraham.com/2015/02/16/cms-energy-corporation-annual-valuation-2015-cms/" TargetMode="External"/><Relationship Id="rId335" Type="http://schemas.openxmlformats.org/officeDocument/2006/relationships/hyperlink" Target="http://www.moderngraham.com/2016/02/03/3m-company-valuation-february-2016-update-mmm/" TargetMode="External"/><Relationship Id="rId377" Type="http://schemas.openxmlformats.org/officeDocument/2006/relationships/hyperlink" Target="http://www.moderngraham.com/2014/12/29/realty-income-corporation-annual-valuation-2014-o/" TargetMode="External"/><Relationship Id="rId500" Type="http://schemas.openxmlformats.org/officeDocument/2006/relationships/hyperlink" Target="http://www.moderngraham.com/2015/10/28/united-parcel-service-inc-valuation-october-2015-update-ups/" TargetMode="External"/><Relationship Id="rId542" Type="http://schemas.openxmlformats.org/officeDocument/2006/relationships/hyperlink" Target="http://www.moderngraham.com/2015/01/28/xerox-corporation-annual-valuation-2015-xrx/" TargetMode="External"/><Relationship Id="rId5" Type="http://schemas.openxmlformats.org/officeDocument/2006/relationships/hyperlink" Target="http://www.moderngraham.com/2015/08/04/advance-auto-parts-inc-analysis-initial-coverage-aap/" TargetMode="External"/><Relationship Id="rId181" Type="http://schemas.openxmlformats.org/officeDocument/2006/relationships/hyperlink" Target="http://www.moderngraham.com/2015/09/23/emc-corporation-analysis-september-2015-update-emc/" TargetMode="External"/><Relationship Id="rId237" Type="http://schemas.openxmlformats.org/officeDocument/2006/relationships/hyperlink" Target="http://www.moderngraham.com/2016/02/15/garmin-ltd-stock-valuation-february-2016-grmn/" TargetMode="External"/><Relationship Id="rId402" Type="http://schemas.openxmlformats.org/officeDocument/2006/relationships/hyperlink" Target="http://www.moderngraham.com/2015/05/07/philip-morris-international-annual-valuation-2015-pm/" TargetMode="External"/><Relationship Id="rId279" Type="http://schemas.openxmlformats.org/officeDocument/2006/relationships/hyperlink" Target="http://www.moderngraham.com/2016/01/27/jacobs-engineering-group-inc-valuation-january-2016-update-jec/" TargetMode="External"/><Relationship Id="rId444" Type="http://schemas.openxmlformats.org/officeDocument/2006/relationships/hyperlink" Target="http://www.moderngraham.com/2016/02/10/j-m-smucker-co-valuation-february-2016-sjm/" TargetMode="External"/><Relationship Id="rId486" Type="http://schemas.openxmlformats.org/officeDocument/2006/relationships/hyperlink" Target="http://www.moderngraham.com/2015/10/27/tractor-supply-company-valuation-october-2015-update-tsco/" TargetMode="External"/><Relationship Id="rId43" Type="http://schemas.openxmlformats.org/officeDocument/2006/relationships/hyperlink" Target="http://www.moderngraham.com/2016/02/02/allegion-plc-valuation-february-2016-update-alle/" TargetMode="External"/><Relationship Id="rId139" Type="http://schemas.openxmlformats.org/officeDocument/2006/relationships/hyperlink" Target="http://www.moderngraham.com/2015/01/26/computer-sciences-corporation-annual-valuation-2015-csc/" TargetMode="External"/><Relationship Id="rId290" Type="http://schemas.openxmlformats.org/officeDocument/2006/relationships/hyperlink" Target="http://www.moderngraham.com/2015/02/06/kimberly-clark-corporation-annual-valuation-2015-kmb/" TargetMode="External"/><Relationship Id="rId304" Type="http://schemas.openxmlformats.org/officeDocument/2006/relationships/hyperlink" Target="http://www.moderngraham.com/2016/01/31/linear-technology-corp-valuation-january-2016-update-lltc/" TargetMode="External"/><Relationship Id="rId346" Type="http://schemas.openxmlformats.org/officeDocument/2006/relationships/hyperlink" Target="http://www.moderngraham.com/2016/02/09/microsoft-corp-valuation-february-2016-msft/" TargetMode="External"/><Relationship Id="rId388" Type="http://schemas.openxmlformats.org/officeDocument/2006/relationships/hyperlink" Target="http://www.moderngraham.com/2016/01/27/paccar-inc-valuation-january-2016-update-pcar/" TargetMode="External"/><Relationship Id="rId511" Type="http://schemas.openxmlformats.org/officeDocument/2006/relationships/hyperlink" Target="http://www.moderngraham.com/2015/05/18/vornado-realty-trust-annual-valuation-2015-vno/" TargetMode="External"/><Relationship Id="rId85" Type="http://schemas.openxmlformats.org/officeDocument/2006/relationships/hyperlink" Target="http://www.moderngraham.com/2015/08/19/becton-dickinson-company-analysis-august-2015-update-bdx/" TargetMode="External"/><Relationship Id="rId150" Type="http://schemas.openxmlformats.org/officeDocument/2006/relationships/hyperlink" Target="http://www.moderngraham.com/2015/02/19/delta-air-lines-inc-annual-valuation-2015-dal/" TargetMode="External"/><Relationship Id="rId192" Type="http://schemas.openxmlformats.org/officeDocument/2006/relationships/hyperlink" Target="http://www.moderngraham.com/2015/10/09/essex-property-trust-inc-analysis-october-2015-update-ess/" TargetMode="External"/><Relationship Id="rId206" Type="http://schemas.openxmlformats.org/officeDocument/2006/relationships/hyperlink" Target="http://www.moderngraham.com/2015/05/10/firstenergy-corporation-annual-valuation-2015-fe/" TargetMode="External"/><Relationship Id="rId413" Type="http://schemas.openxmlformats.org/officeDocument/2006/relationships/hyperlink" Target="http://www.moderngraham.com/2014/12/21/phillips-66-annual-valuation-2014-psx/" TargetMode="External"/><Relationship Id="rId248" Type="http://schemas.openxmlformats.org/officeDocument/2006/relationships/hyperlink" Target="http://www.moderngraham.com/2016/01/31/hcp-inc-valuation-january-2016-update-hcp/" TargetMode="External"/><Relationship Id="rId455" Type="http://schemas.openxmlformats.org/officeDocument/2006/relationships/hyperlink" Target="http://www.moderngraham.com/2015/09/24/staples-inc-analysis-september-2015-update-spls/" TargetMode="External"/><Relationship Id="rId497" Type="http://schemas.openxmlformats.org/officeDocument/2006/relationships/hyperlink" Target="http://www.moderngraham.com/2015/11/16/unitedhealth-group-inc-valuation-november-2015-update-unh/" TargetMode="External"/><Relationship Id="rId12" Type="http://schemas.openxmlformats.org/officeDocument/2006/relationships/hyperlink" Target="http://www.moderngraham.com/2015/08/04/aecom-analysis-initial-coverage-acm/" TargetMode="External"/><Relationship Id="rId108" Type="http://schemas.openxmlformats.org/officeDocument/2006/relationships/hyperlink" Target="http://www.moderngraham.com/2015/01/24/cbre-group-inc-annual-valuation-2015-cbg/" TargetMode="External"/><Relationship Id="rId315" Type="http://schemas.openxmlformats.org/officeDocument/2006/relationships/hyperlink" Target="http://www.moderngraham.com/2015/02/12/macys-inc-annual-valuation-2015-m/" TargetMode="External"/><Relationship Id="rId357" Type="http://schemas.openxmlformats.org/officeDocument/2006/relationships/hyperlink" Target="http://www.moderngraham.com/2015/04/08/noble-corporation-annual-valuation-2015-ne/" TargetMode="External"/><Relationship Id="rId522" Type="http://schemas.openxmlformats.org/officeDocument/2006/relationships/hyperlink" Target="http://www.moderngraham.com/2015/08/06/whirlpool-corporation-analysis-2015-update-whr/" TargetMode="External"/><Relationship Id="rId54" Type="http://schemas.openxmlformats.org/officeDocument/2006/relationships/hyperlink" Target="http://www.moderngraham.com/2015/11/25/autonation-inc-valuation-november-2015-update-an/" TargetMode="External"/><Relationship Id="rId96" Type="http://schemas.openxmlformats.org/officeDocument/2006/relationships/hyperlink" Target="http://www.moderngraham.com/2015/08/19/berkshire-hathaway-analysis-august-2015-update-brkb/" TargetMode="External"/><Relationship Id="rId161" Type="http://schemas.openxmlformats.org/officeDocument/2006/relationships/hyperlink" Target="http://www.moderngraham.com/2015/06/15/delphi-automotive-analysis-2015-update-dlph/" TargetMode="External"/><Relationship Id="rId217" Type="http://schemas.openxmlformats.org/officeDocument/2006/relationships/hyperlink" Target="http://www.moderngraham.com/2015/11/03/first-solar-inc-valuation-november-2015-update-fslr/" TargetMode="External"/><Relationship Id="rId399" Type="http://schemas.openxmlformats.org/officeDocument/2006/relationships/hyperlink" Target="http://www.moderngraham.com/2016/01/06/pultegroup-inc-valuation-january-2016-update-phm/" TargetMode="External"/><Relationship Id="rId259" Type="http://schemas.openxmlformats.org/officeDocument/2006/relationships/hyperlink" Target="http://www.moderngraham.com/2016/02/18/harris-corporation-valuation-february-2016-hrs/" TargetMode="External"/><Relationship Id="rId424" Type="http://schemas.openxmlformats.org/officeDocument/2006/relationships/hyperlink" Target="http://www.moderngraham.com/2015/06/16/regal-beloit-corporation-analysis-2015-update-rbc/" TargetMode="External"/><Relationship Id="rId466" Type="http://schemas.openxmlformats.org/officeDocument/2006/relationships/hyperlink" Target="http://www.moderngraham.com/2016/02/02/southwestern-energy-company-valuation-february-2016-update-swn/" TargetMode="External"/><Relationship Id="rId23" Type="http://schemas.openxmlformats.org/officeDocument/2006/relationships/hyperlink" Target="http://www.moderngraham.com/2016/02/05/american-eagle-outfitters-valuation-february-2016-aeo/" TargetMode="External"/><Relationship Id="rId119" Type="http://schemas.openxmlformats.org/officeDocument/2006/relationships/hyperlink" Target="http://www.moderngraham.com/2015/11/06/cincinnati-financial-corp-valuation-november-2015-update-cinf/" TargetMode="External"/><Relationship Id="rId270" Type="http://schemas.openxmlformats.org/officeDocument/2006/relationships/hyperlink" Target="http://www.moderngraham.com/2015/12/11/international-paper-co-valuation-december-2015-update-ip/" TargetMode="External"/><Relationship Id="rId326" Type="http://schemas.openxmlformats.org/officeDocument/2006/relationships/hyperlink" Target="http://www.moderngraham.com/2015/06/24/mondelez-international-inc-analysis-2015-update-mdlz/" TargetMode="External"/><Relationship Id="rId533" Type="http://schemas.openxmlformats.org/officeDocument/2006/relationships/hyperlink" Target="http://www.moderngraham.com/2015/11/16/weyerhaeuser-co-valuation-november-2015-update-wy/" TargetMode="External"/><Relationship Id="rId65" Type="http://schemas.openxmlformats.org/officeDocument/2006/relationships/hyperlink" Target="http://www.moderngraham.com/2015/08/23/alexandria-real-estate-equities-inc-analysis-initial-coverage-are/" TargetMode="External"/><Relationship Id="rId130" Type="http://schemas.openxmlformats.org/officeDocument/2006/relationships/hyperlink" Target="http://www.moderngraham.com/2015/11/25/consol-energy-inc-valuation-november-2015-update-cnx/" TargetMode="External"/><Relationship Id="rId368" Type="http://schemas.openxmlformats.org/officeDocument/2006/relationships/hyperlink" Target="http://www.moderngraham.com/2016/01/31/national-presto-industries-valuation-january-2016-update-npk/" TargetMode="External"/><Relationship Id="rId172" Type="http://schemas.openxmlformats.org/officeDocument/2006/relationships/hyperlink" Target="http://www.moderngraham.com/2015/11/13/davita-healthcare-partners-inc-valuation-november-2015-update-dva/" TargetMode="External"/><Relationship Id="rId228" Type="http://schemas.openxmlformats.org/officeDocument/2006/relationships/hyperlink" Target="http://www.moderngraham.com/2015/11/19/corning-inc-valuation-november-2015-update-glw/" TargetMode="External"/><Relationship Id="rId435" Type="http://schemas.openxmlformats.org/officeDocument/2006/relationships/hyperlink" Target="http://www.moderngraham.com/2015/08/18/range-resources-corporation-analysis-august-2015-update-rrc/" TargetMode="External"/><Relationship Id="rId477" Type="http://schemas.openxmlformats.org/officeDocument/2006/relationships/hyperlink" Target="http://www.moderngraham.com/2015/06/19/target-corporation-stock-analysis-2015-update-tgt/" TargetMode="External"/><Relationship Id="rId281" Type="http://schemas.openxmlformats.org/officeDocument/2006/relationships/hyperlink" Target="http://www.moderngraham.com/2015/01/31/juniper-networks-inc-annual-valuation-2015-jnpr/" TargetMode="External"/><Relationship Id="rId337" Type="http://schemas.openxmlformats.org/officeDocument/2006/relationships/hyperlink" Target="http://www.moderngraham.com/2015/07/22/mallinckrodt-plc-analysis-initial-coverage-mnk/" TargetMode="External"/><Relationship Id="rId502" Type="http://schemas.openxmlformats.org/officeDocument/2006/relationships/hyperlink" Target="http://www.moderngraham.com/2015/07/16/united-rentals-inc-analysis-initial-coverage-uri/" TargetMode="External"/><Relationship Id="rId34" Type="http://schemas.openxmlformats.org/officeDocument/2006/relationships/hyperlink" Target="http://www.moderngraham.com/2016/02/17/assurant-inc-valuation-february-2016-aiz/" TargetMode="External"/><Relationship Id="rId76" Type="http://schemas.openxmlformats.org/officeDocument/2006/relationships/hyperlink" Target="http://www.moderngraham.com/2015/10/29/american-express-company-valuation-october-2015-update-axp/" TargetMode="External"/><Relationship Id="rId141" Type="http://schemas.openxmlformats.org/officeDocument/2006/relationships/hyperlink" Target="http://www.moderngraham.com/2016/02/02/csx-corporation-valuation-february-2016-update-csx/" TargetMode="External"/><Relationship Id="rId379" Type="http://schemas.openxmlformats.org/officeDocument/2006/relationships/hyperlink" Target="http://www.moderngraham.com/2015/02/27/oneok-inc-annual-valuation-2015-oke/" TargetMode="External"/><Relationship Id="rId544" Type="http://schemas.openxmlformats.org/officeDocument/2006/relationships/hyperlink" Target="http://www.moderngraham.com/2015/11/17/yahoo-inc-valuation-november-2015-update-yhoo/" TargetMode="External"/><Relationship Id="rId7" Type="http://schemas.openxmlformats.org/officeDocument/2006/relationships/hyperlink" Target="http://www.moderngraham.com/2015/05/20/abbvie-inc-annual-valuation-2015-abbv/" TargetMode="External"/><Relationship Id="rId183" Type="http://schemas.openxmlformats.org/officeDocument/2006/relationships/hyperlink" Target="http://www.moderngraham.com/2016/02/12/emerson-electric-co-valuation-february-2016-emr/" TargetMode="External"/><Relationship Id="rId239" Type="http://schemas.openxmlformats.org/officeDocument/2006/relationships/hyperlink" Target="http://www.moderngraham.com/2015/02/04/goodyear-tire-rubber-company-annual-valuation-2015-gt/" TargetMode="External"/><Relationship Id="rId390" Type="http://schemas.openxmlformats.org/officeDocument/2006/relationships/hyperlink" Target="http://www.moderngraham.com/2015/05/21/priceline-group-annual-valuation-2015-pcln/" TargetMode="External"/><Relationship Id="rId404" Type="http://schemas.openxmlformats.org/officeDocument/2006/relationships/hyperlink" Target="http://www.moderngraham.com/2015/11/13/pnc-financial-services-group-valuation-november-2015-update-pnc/" TargetMode="External"/><Relationship Id="rId446" Type="http://schemas.openxmlformats.org/officeDocument/2006/relationships/hyperlink" Target="http://www.moderngraham.com/2015/07/26/sl-green-realty-corp-analysis-initial-coverage-slg/" TargetMode="External"/><Relationship Id="rId250" Type="http://schemas.openxmlformats.org/officeDocument/2006/relationships/hyperlink" Target="http://www.moderngraham.com/2015/05/12/hess-corporation-annual-valuation-2015-hes/" TargetMode="External"/><Relationship Id="rId292" Type="http://schemas.openxmlformats.org/officeDocument/2006/relationships/hyperlink" Target="http://www.moderngraham.com/2015/04/10/carmax-inc-annual-valuation-2015-kmx/" TargetMode="External"/><Relationship Id="rId306" Type="http://schemas.openxmlformats.org/officeDocument/2006/relationships/hyperlink" Target="http://www.moderngraham.com/2015/12/11/legg-mason-inc-valuation-december-2015-update-lm/" TargetMode="External"/><Relationship Id="rId488" Type="http://schemas.openxmlformats.org/officeDocument/2006/relationships/hyperlink" Target="http://www.moderngraham.com/2015/10/07/tesoro-corporation-analysis-october-2015-update-tso/" TargetMode="External"/><Relationship Id="rId45" Type="http://schemas.openxmlformats.org/officeDocument/2006/relationships/hyperlink" Target="http://www.moderngraham.com/2016/02/26/applied-materials-inc-valuation-february-2016-amat/" TargetMode="External"/><Relationship Id="rId87" Type="http://schemas.openxmlformats.org/officeDocument/2006/relationships/hyperlink" Target="http://www.moderngraham.com/2015/09/25/brown-forman-corporation-analysis-september-2015-update-bfb/" TargetMode="External"/><Relationship Id="rId110" Type="http://schemas.openxmlformats.org/officeDocument/2006/relationships/hyperlink" Target="http://www.moderngraham.com/2015/09/01/coca-cola-enterprises-inc-analysis-september-2015-update-cce/" TargetMode="External"/><Relationship Id="rId348" Type="http://schemas.openxmlformats.org/officeDocument/2006/relationships/hyperlink" Target="http://www.moderngraham.com/2015/12/10/mt-bank-corp-valuation-december-2015-update-mtb/" TargetMode="External"/><Relationship Id="rId513" Type="http://schemas.openxmlformats.org/officeDocument/2006/relationships/hyperlink" Target="http://www.moderngraham.com/2015/07/17/vertex-pharmaceuticals-analysis-july-2015-update-vrtx/" TargetMode="External"/><Relationship Id="rId152" Type="http://schemas.openxmlformats.org/officeDocument/2006/relationships/hyperlink" Target="http://www.moderngraham.com/2016/01/04/deere-company-valuation-january-2016-update-de/" TargetMode="External"/><Relationship Id="rId194" Type="http://schemas.openxmlformats.org/officeDocument/2006/relationships/hyperlink" Target="http://www.moderngraham.com/2015/01/26/etrade-financial-corporation-annual-valuation-2015-etfc/" TargetMode="External"/><Relationship Id="rId208" Type="http://schemas.openxmlformats.org/officeDocument/2006/relationships/hyperlink" Target="http://www.moderngraham.com/2015/05/13/fidelity-national-information-services-inc-annual-valuation-2015-fis/" TargetMode="External"/><Relationship Id="rId415" Type="http://schemas.openxmlformats.org/officeDocument/2006/relationships/hyperlink" Target="http://www.moderngraham.com/2016/02/10/quanta-services-inc-valuation-february-2016-pwr/" TargetMode="External"/><Relationship Id="rId457" Type="http://schemas.openxmlformats.org/officeDocument/2006/relationships/hyperlink" Target="http://www.moderngraham.com/2015/10/26/sempra-energy-valuation-october-2015-update-sre/" TargetMode="External"/><Relationship Id="rId261" Type="http://schemas.openxmlformats.org/officeDocument/2006/relationships/hyperlink" Target="http://www.moderngraham.com/2015/03/02/host-hotels-and-resorts-inc-annual-valuation-2015-hst/" TargetMode="External"/><Relationship Id="rId499" Type="http://schemas.openxmlformats.org/officeDocument/2006/relationships/hyperlink" Target="http://www.moderngraham.com/2016/02/01/union-pacific-corporation-valuation-february-2016-update-unp/" TargetMode="External"/><Relationship Id="rId14" Type="http://schemas.openxmlformats.org/officeDocument/2006/relationships/hyperlink" Target="http://www.moderngraham.com/2015/08/05/acxiom-corporation-analysis-initial-coverage-acxm/" TargetMode="External"/><Relationship Id="rId56" Type="http://schemas.openxmlformats.org/officeDocument/2006/relationships/hyperlink" Target="http://www.moderngraham.com/2015/11/19/ansys-inc-valuation-november-2015-update-anss/" TargetMode="External"/><Relationship Id="rId317" Type="http://schemas.openxmlformats.org/officeDocument/2006/relationships/hyperlink" Target="http://www.moderngraham.com/2016/01/06/macerich-co-valuation-january-2016-update-mac/" TargetMode="External"/><Relationship Id="rId359" Type="http://schemas.openxmlformats.org/officeDocument/2006/relationships/hyperlink" Target="http://www.moderngraham.com/2015/04/10/newmont-mining-corporation-annual-valuation-2015-nem/" TargetMode="External"/><Relationship Id="rId524" Type="http://schemas.openxmlformats.org/officeDocument/2006/relationships/hyperlink" Target="http://www.moderngraham.com/2015/07/18/waste-management-inc-analysis-2015-update-wm/" TargetMode="External"/><Relationship Id="rId98" Type="http://schemas.openxmlformats.org/officeDocument/2006/relationships/hyperlink" Target="http://www.moderngraham.com/2015/09/25/peabody-energy-corporation-analysis-september-2015-update-btu/" TargetMode="External"/><Relationship Id="rId121" Type="http://schemas.openxmlformats.org/officeDocument/2006/relationships/hyperlink" Target="http://www.moderngraham.com/2015/08/24/cliffs-natural-resources-inc-analysis-august-2015-update-clf/" TargetMode="External"/><Relationship Id="rId163" Type="http://schemas.openxmlformats.org/officeDocument/2006/relationships/hyperlink" Target="http://www.moderngraham.com/2015/09/04/dun-bradstreet-corp-analysis-september-2015-update-dnb/" TargetMode="External"/><Relationship Id="rId219" Type="http://schemas.openxmlformats.org/officeDocument/2006/relationships/hyperlink" Target="http://www.moderngraham.com/2015/11/16/frontier-communications-corp-valuation-november-2015-update-ftr/" TargetMode="External"/><Relationship Id="rId370" Type="http://schemas.openxmlformats.org/officeDocument/2006/relationships/hyperlink" Target="http://www.moderngraham.com/2016/02/03/norfolk-southern-corp-valuation-february-2016-update-nsc/" TargetMode="External"/><Relationship Id="rId426" Type="http://schemas.openxmlformats.org/officeDocument/2006/relationships/hyperlink" Target="http://www.moderngraham.com/2015/04/08/regeneron-pharmaceuticals-inc-annual-valuation-2015-regn/" TargetMode="External"/><Relationship Id="rId230" Type="http://schemas.openxmlformats.org/officeDocument/2006/relationships/hyperlink" Target="http://www.moderngraham.com/2016/01/31/keurig-green-mountain-inc-valuation-january-2016-update-gmcr/" TargetMode="External"/><Relationship Id="rId468" Type="http://schemas.openxmlformats.org/officeDocument/2006/relationships/hyperlink" Target="http://www.moderngraham.com/2016/02/19/symantec-corp-valuation-february-2016-symc/" TargetMode="External"/><Relationship Id="rId25" Type="http://schemas.openxmlformats.org/officeDocument/2006/relationships/hyperlink" Target="http://www.moderngraham.com/2015/01/23/aes-corporation-annual-valuation-2015-aep/" TargetMode="External"/><Relationship Id="rId67" Type="http://schemas.openxmlformats.org/officeDocument/2006/relationships/hyperlink" Target="http://www.moderngraham.com/2015/07/31/alliance-resource-partners-lp-analysis-initial-coverage-arlp/" TargetMode="External"/><Relationship Id="rId272" Type="http://schemas.openxmlformats.org/officeDocument/2006/relationships/hyperlink" Target="http://www.moderngraham.com/2015/02/02/ingersoll-rand-inc-annual-valuation-2015-ir/" TargetMode="External"/><Relationship Id="rId328" Type="http://schemas.openxmlformats.org/officeDocument/2006/relationships/hyperlink" Target="http://www.moderngraham.com/2016/02/03/metlife-inc-valuation-february-2016-update-met/" TargetMode="External"/><Relationship Id="rId535" Type="http://schemas.openxmlformats.org/officeDocument/2006/relationships/hyperlink" Target="http://www.moderngraham.com/2016/02/09/wynn-resorts-ltd-valuation-february-2016-wynn/" TargetMode="External"/><Relationship Id="rId132" Type="http://schemas.openxmlformats.org/officeDocument/2006/relationships/hyperlink" Target="http://www.moderngraham.com/2015/12/10/cabot-oil-gas-corp-valuation-december-2015-update-cog/" TargetMode="External"/><Relationship Id="rId174" Type="http://schemas.openxmlformats.org/officeDocument/2006/relationships/hyperlink" Target="http://www.moderngraham.com/2015/01/31/electronic-arts-inc-annual-valuation-2015-ea/" TargetMode="External"/><Relationship Id="rId381" Type="http://schemas.openxmlformats.org/officeDocument/2006/relationships/hyperlink" Target="http://www.moderngraham.com/2015/03/27/omnicom-group-inc-annual-valuation-2015-omc/" TargetMode="External"/><Relationship Id="rId220" Type="http://schemas.openxmlformats.org/officeDocument/2006/relationships/hyperlink" Target="http://www.moderngraham.com/2015/01/06/agl-resources-inc-annual-valuation-2015-agl/" TargetMode="External"/><Relationship Id="rId241" Type="http://schemas.openxmlformats.org/officeDocument/2006/relationships/hyperlink" Target="http://www.moderngraham.com/2015/09/10/halliburton-company-analysis-september-2015-update-hal/" TargetMode="External"/><Relationship Id="rId437" Type="http://schemas.openxmlformats.org/officeDocument/2006/relationships/hyperlink" Target="http://www.moderngraham.com/2016/02/18/raytheon-co-valuation-february-2016-rtn/" TargetMode="External"/><Relationship Id="rId458" Type="http://schemas.openxmlformats.org/officeDocument/2006/relationships/hyperlink" Target="http://www.moderngraham.com/2016/02/17/suntrust-banks-inc-valuation-february-2016-sti/" TargetMode="External"/><Relationship Id="rId479" Type="http://schemas.openxmlformats.org/officeDocument/2006/relationships/hyperlink" Target="http://www.moderngraham.com/2016/02/01/tiffany-company-valuation-february-2016-update-tif/" TargetMode="External"/><Relationship Id="rId15" Type="http://schemas.openxmlformats.org/officeDocument/2006/relationships/hyperlink" Target="http://www.moderngraham.com/2015/06/15/adobe-systems-inc-analysis-2015-update-adbe/" TargetMode="External"/><Relationship Id="rId36" Type="http://schemas.openxmlformats.org/officeDocument/2006/relationships/hyperlink" Target="http://www.moderngraham.com/2016/01/27/akamai-technologies-inc-valuation-january-2016-akam/" TargetMode="External"/><Relationship Id="rId57" Type="http://schemas.openxmlformats.org/officeDocument/2006/relationships/hyperlink" Target="http://www.moderngraham.com/2016/02/09/anthem-inc-valuation-february-2016-antm/" TargetMode="External"/><Relationship Id="rId262" Type="http://schemas.openxmlformats.org/officeDocument/2006/relationships/hyperlink" Target="http://www.moderngraham.com/2015/01/25/hershey-company-annual-valuation-2015-hsy/" TargetMode="External"/><Relationship Id="rId283" Type="http://schemas.openxmlformats.org/officeDocument/2006/relationships/hyperlink" Target="http://www.moderngraham.com/2016/01/25/jp-morgan-chase-valuation-january-2016-update-jpm/" TargetMode="External"/><Relationship Id="rId318" Type="http://schemas.openxmlformats.org/officeDocument/2006/relationships/hyperlink" Target="http://www.moderngraham.com/2015/07/30/main-street-capital-corporation-analysis-initial-coverage-main/" TargetMode="External"/><Relationship Id="rId339" Type="http://schemas.openxmlformats.org/officeDocument/2006/relationships/hyperlink" Target="http://www.moderngraham.com/2015/01/21/altria-group-inc-annual-valuation-2015-mo/" TargetMode="External"/><Relationship Id="rId490" Type="http://schemas.openxmlformats.org/officeDocument/2006/relationships/hyperlink" Target="http://www.moderngraham.com/2015/11/05/time-warner-cable-inc-valuation-november-2015-update-twc/" TargetMode="External"/><Relationship Id="rId504" Type="http://schemas.openxmlformats.org/officeDocument/2006/relationships/hyperlink" Target="http://www.moderngraham.com/2015/11/16/united-technologies-corp-valuation-november-2015-update-utx/" TargetMode="External"/><Relationship Id="rId525" Type="http://schemas.openxmlformats.org/officeDocument/2006/relationships/hyperlink" Target="http://www.moderngraham.com/2015/02/02/williams-companies-annual-valuation-2015-wmb/" TargetMode="External"/><Relationship Id="rId546" Type="http://schemas.openxmlformats.org/officeDocument/2006/relationships/hyperlink" Target="http://www.moderngraham.com/2015/09/24/zimmer-biomet-holdings-inc-analysis-september-2015-update-zbh/" TargetMode="External"/><Relationship Id="rId78" Type="http://schemas.openxmlformats.org/officeDocument/2006/relationships/hyperlink" Target="http://www.moderngraham.com/2015/11/24/boeing-company-valuation-november-2015-update-ba/" TargetMode="External"/><Relationship Id="rId99" Type="http://schemas.openxmlformats.org/officeDocument/2006/relationships/hyperlink" Target="http://www.moderngraham.com/2016/02/03/borgwarner-inc-valuation-february-2016-update-bwa/" TargetMode="External"/><Relationship Id="rId101" Type="http://schemas.openxmlformats.org/officeDocument/2006/relationships/hyperlink" Target="http://www.moderngraham.com/2015/12/10/citigroup-inc-valuation-december-2015-update-c/" TargetMode="External"/><Relationship Id="rId122" Type="http://schemas.openxmlformats.org/officeDocument/2006/relationships/hyperlink" Target="http://www.moderngraham.com/2015/09/10/clorox-company-analysis-september-2015-update-clx/" TargetMode="External"/><Relationship Id="rId143" Type="http://schemas.openxmlformats.org/officeDocument/2006/relationships/hyperlink" Target="http://www.moderngraham.com/2016/02/12/centurylink-inc-valuation-february-2016-ctl/" TargetMode="External"/><Relationship Id="rId164" Type="http://schemas.openxmlformats.org/officeDocument/2006/relationships/hyperlink" Target="http://www.moderngraham.com/2015/11/09/denbury-resources-inc-valuation-november-2015-update-dnr/" TargetMode="External"/><Relationship Id="rId185" Type="http://schemas.openxmlformats.org/officeDocument/2006/relationships/hyperlink" Target="http://www.moderngraham.com/2015/06/01/eog-resources-analysis-2015-annual-update-eog/" TargetMode="External"/><Relationship Id="rId350" Type="http://schemas.openxmlformats.org/officeDocument/2006/relationships/hyperlink" Target="http://www.moderngraham.com/2015/11/10/micron-technology-inc-valuation-november-2015-update-mu/" TargetMode="External"/><Relationship Id="rId371" Type="http://schemas.openxmlformats.org/officeDocument/2006/relationships/hyperlink" Target="http://www.moderngraham.com/2015/09/24/netapp-inc-analysis-september-2015-update-ntap/" TargetMode="External"/><Relationship Id="rId406" Type="http://schemas.openxmlformats.org/officeDocument/2006/relationships/hyperlink" Target="http://www.moderngraham.com/2015/12/10/pinnacle-west-capital-corp-valuation-december-2015-update-pnw/" TargetMode="External"/><Relationship Id="rId9" Type="http://schemas.openxmlformats.org/officeDocument/2006/relationships/hyperlink" Target="http://www.moderngraham.com/2015/03/16/abbott-laboratories-annual-valuation-2015-abt/" TargetMode="External"/><Relationship Id="rId210" Type="http://schemas.openxmlformats.org/officeDocument/2006/relationships/hyperlink" Target="http://www.moderngraham.com/2016/01/05/fifth-third-bancorp-valuation-january-2016-update-fitb/" TargetMode="External"/><Relationship Id="rId392" Type="http://schemas.openxmlformats.org/officeDocument/2006/relationships/hyperlink" Target="http://www.moderngraham.com/2015/07/15/public-service-enterprise-group-inc-analysis-2015-update-peg/" TargetMode="External"/><Relationship Id="rId427" Type="http://schemas.openxmlformats.org/officeDocument/2006/relationships/hyperlink" Target="http://www.moderngraham.com/2015/01/27/regions-financial-corporation-annual-valuation-2015-rf/" TargetMode="External"/><Relationship Id="rId448" Type="http://schemas.openxmlformats.org/officeDocument/2006/relationships/hyperlink" Target="http://www.moderngraham.com/2016/02/02/silver-wheaton-corporation-february-2016-update-slw/" TargetMode="External"/><Relationship Id="rId469" Type="http://schemas.openxmlformats.org/officeDocument/2006/relationships/hyperlink" Target="http://www.moderngraham.com/2015/09/08/sysco-corporation-analysis-september-2015-update-syy/" TargetMode="External"/><Relationship Id="rId26" Type="http://schemas.openxmlformats.org/officeDocument/2006/relationships/hyperlink" Target="http://www.moderngraham.com/2016/02/01/aetna-inc-valuation-february-2016-update-aet/" TargetMode="External"/><Relationship Id="rId231" Type="http://schemas.openxmlformats.org/officeDocument/2006/relationships/hyperlink" Target="http://www.moderngraham.com/2015/05/23/gamestop-corporation-annual-valuation-2015-gme/" TargetMode="External"/><Relationship Id="rId252" Type="http://schemas.openxmlformats.org/officeDocument/2006/relationships/hyperlink" Target="http://www.moderngraham.com/2016/01/04/harley-davidson-inc-valuation-january-2016-update-hog/" TargetMode="External"/><Relationship Id="rId273" Type="http://schemas.openxmlformats.org/officeDocument/2006/relationships/hyperlink" Target="http://www.moderngraham.com/2015/05/24/iron-mountain-inc-annual-valuation-2015-irm/" TargetMode="External"/><Relationship Id="rId294" Type="http://schemas.openxmlformats.org/officeDocument/2006/relationships/hyperlink" Target="http://www.moderngraham.com/2016/01/05/michael-kors-holdings-ltd-valuation-january-2016-update-kors/" TargetMode="External"/><Relationship Id="rId308" Type="http://schemas.openxmlformats.org/officeDocument/2006/relationships/hyperlink" Target="http://www.moderngraham.com/2015/11/13/lincoln-national-corp-valuation-november-2015-update-lnc/" TargetMode="External"/><Relationship Id="rId329" Type="http://schemas.openxmlformats.org/officeDocument/2006/relationships/hyperlink" Target="http://www.moderngraham.com/2015/07/21/mcgraw-hill-financial-inc-analysis-2015-update-mhfi/" TargetMode="External"/><Relationship Id="rId480" Type="http://schemas.openxmlformats.org/officeDocument/2006/relationships/hyperlink" Target="http://www.moderngraham.com/2016/02/03/tjx-companies-inc-valuation-february-2016-update-tjx/" TargetMode="External"/><Relationship Id="rId515" Type="http://schemas.openxmlformats.org/officeDocument/2006/relationships/hyperlink" Target="http://www.moderngraham.com/2015/03/06/verizon-communications-annual-valuation-2015-vz/" TargetMode="External"/><Relationship Id="rId536" Type="http://schemas.openxmlformats.org/officeDocument/2006/relationships/hyperlink" Target="http://www.moderngraham.com/2015/02/16/united-states-steel-corporation-annual-valuation-2015-x/" TargetMode="External"/><Relationship Id="rId47" Type="http://schemas.openxmlformats.org/officeDocument/2006/relationships/hyperlink" Target="http://www.moderngraham.com/2015/08/16/advanced-micro-devices-inc-analysis-initial-coverage-amd/" TargetMode="External"/><Relationship Id="rId68" Type="http://schemas.openxmlformats.org/officeDocument/2006/relationships/hyperlink" Target="http://www.moderngraham.com/2015/08/24/arris-group-inc-analysis-initial-coverage-arrs/" TargetMode="External"/><Relationship Id="rId89" Type="http://schemas.openxmlformats.org/officeDocument/2006/relationships/hyperlink" Target="http://www.moderngraham.com/2015/05/26/baker-hughes-stock-analysis-2015-annual-update-bhi/" TargetMode="External"/><Relationship Id="rId112" Type="http://schemas.openxmlformats.org/officeDocument/2006/relationships/hyperlink" Target="http://www.moderngraham.com/2015/04/07/carnival-corporation-annual-valuation-2015-ccl/" TargetMode="External"/><Relationship Id="rId133" Type="http://schemas.openxmlformats.org/officeDocument/2006/relationships/hyperlink" Target="http://www.moderngraham.com/2016/02/02/coach-inc-valuation-february-2016-update-coh/" TargetMode="External"/><Relationship Id="rId154" Type="http://schemas.openxmlformats.org/officeDocument/2006/relationships/hyperlink" Target="http://www.moderngraham.com/2015/04/01/dollar-general-corporation-annual-valuation-april-2015-dg/" TargetMode="External"/><Relationship Id="rId175" Type="http://schemas.openxmlformats.org/officeDocument/2006/relationships/hyperlink" Target="http://www.moderngraham.com/2015/08/15/ebay-inc-analysis-august-2015-update-ebay/" TargetMode="External"/><Relationship Id="rId340" Type="http://schemas.openxmlformats.org/officeDocument/2006/relationships/hyperlink" Target="http://www.moderngraham.com/2016/01/25/monsanto-company-valuation-january-2016-update-mon/" TargetMode="External"/><Relationship Id="rId361" Type="http://schemas.openxmlformats.org/officeDocument/2006/relationships/hyperlink" Target="http://www.moderngraham.com/2015/06/03/newfield-exploration-company-analysis-2015-annual-update-nfx/" TargetMode="External"/><Relationship Id="rId196" Type="http://schemas.openxmlformats.org/officeDocument/2006/relationships/hyperlink" Target="http://www.moderngraham.com/2016/01/27/entergy-corp-valuation-january-2016-update-etr/" TargetMode="External"/><Relationship Id="rId200" Type="http://schemas.openxmlformats.org/officeDocument/2006/relationships/hyperlink" Target="http://www.moderngraham.com/2015/10/01/expedia-inc-analysis-october-2015-update-expe/" TargetMode="External"/><Relationship Id="rId382" Type="http://schemas.openxmlformats.org/officeDocument/2006/relationships/hyperlink" Target="http://www.moderngraham.com/2016/01/06/oracle-corporation-valuation-january-2016-update-orcl/" TargetMode="External"/><Relationship Id="rId417" Type="http://schemas.openxmlformats.org/officeDocument/2006/relationships/hyperlink" Target="http://www.moderngraham.com/2015/01/05/pioneer-natural-resources-annual-valuation-2015-pxd/" TargetMode="External"/><Relationship Id="rId438" Type="http://schemas.openxmlformats.org/officeDocument/2006/relationships/hyperlink" Target="http://www.moderngraham.com/2015/02/15/starbucks-corporation-annual-valuation-2015-sbux/" TargetMode="External"/><Relationship Id="rId459" Type="http://schemas.openxmlformats.org/officeDocument/2006/relationships/hyperlink" Target="http://www.moderngraham.com/2015/02/17/st-jude-medical-inc-annual-valuation-2015-stj/" TargetMode="External"/><Relationship Id="rId16" Type="http://schemas.openxmlformats.org/officeDocument/2006/relationships/hyperlink" Target="http://www.moderngraham.com/2016/02/15/analog-devices-inc-stock-valuation-february-2016-adi/" TargetMode="External"/><Relationship Id="rId221" Type="http://schemas.openxmlformats.org/officeDocument/2006/relationships/hyperlink" Target="http://www.moderngraham.com/2016/01/07/general-dynamics-corporation-valuation-january-2016-update-gd/" TargetMode="External"/><Relationship Id="rId242" Type="http://schemas.openxmlformats.org/officeDocument/2006/relationships/hyperlink" Target="http://www.moderngraham.com/2015/09/11/harman-international-industries-analysis-september-2015-update-har/" TargetMode="External"/><Relationship Id="rId263" Type="http://schemas.openxmlformats.org/officeDocument/2006/relationships/hyperlink" Target="http://www.moderngraham.com/2016/02/15/humana-inc-stock-valuation-february-2016-hum/" TargetMode="External"/><Relationship Id="rId284" Type="http://schemas.openxmlformats.org/officeDocument/2006/relationships/hyperlink" Target="http://www.moderngraham.com/2015/10/28/nordstrom-inc-valuation-october-2015-update-jwn/" TargetMode="External"/><Relationship Id="rId319" Type="http://schemas.openxmlformats.org/officeDocument/2006/relationships/hyperlink" Target="http://www.moderngraham.com/2015/03/27/marriott-international-inc-annual-valuation-2015-mar/" TargetMode="External"/><Relationship Id="rId470" Type="http://schemas.openxmlformats.org/officeDocument/2006/relationships/hyperlink" Target="http://www.moderngraham.com/2015/02/14/att-inc-annual-valuation-2015-t/" TargetMode="External"/><Relationship Id="rId491" Type="http://schemas.openxmlformats.org/officeDocument/2006/relationships/hyperlink" Target="http://www.moderngraham.com/2015/02/02/time-warner-inc-annual-valuation-2015-twx/" TargetMode="External"/><Relationship Id="rId505" Type="http://schemas.openxmlformats.org/officeDocument/2006/relationships/hyperlink" Target="http://www.moderngraham.com/2015/11/27/visa-inc-valuation-november-2015-update-v/" TargetMode="External"/><Relationship Id="rId526" Type="http://schemas.openxmlformats.org/officeDocument/2006/relationships/hyperlink" Target="http://www.moderngraham.com/2015/11/18/wal-mart-stores-inc-valuation-november-2015-update-wmt/" TargetMode="External"/><Relationship Id="rId37" Type="http://schemas.openxmlformats.org/officeDocument/2006/relationships/hyperlink" Target="http://www.moderngraham.com/2015/08/12/akorn-inc-analysis-initial-coverage-akrx/" TargetMode="External"/><Relationship Id="rId58" Type="http://schemas.openxmlformats.org/officeDocument/2006/relationships/hyperlink" Target="http://www.moderngraham.com/2016/01/27/aon-plc-valuation-january-2016-update-aon/" TargetMode="External"/><Relationship Id="rId79" Type="http://schemas.openxmlformats.org/officeDocument/2006/relationships/hyperlink" Target="http://www.moderngraham.com/2015/01/24/bank-of-america-corporation-annual-valuation-2015-bac/" TargetMode="External"/><Relationship Id="rId102" Type="http://schemas.openxmlformats.org/officeDocument/2006/relationships/hyperlink" Target="http://www.moderngraham.com/2016/01/29/ca-inc-valuation-january-2016-update-ca/" TargetMode="External"/><Relationship Id="rId123" Type="http://schemas.openxmlformats.org/officeDocument/2006/relationships/hyperlink" Target="http://www.moderngraham.com/2016/02/15/comerica-inc-stock-valuation-february-2016-cma/" TargetMode="External"/><Relationship Id="rId144" Type="http://schemas.openxmlformats.org/officeDocument/2006/relationships/hyperlink" Target="http://www.moderngraham.com/2016/01/28/cognizant-technology-solutions-corp-valuation-january-2016-update-ctsh/" TargetMode="External"/><Relationship Id="rId330" Type="http://schemas.openxmlformats.org/officeDocument/2006/relationships/hyperlink" Target="http://www.moderngraham.com/2015/10/05/mohawk-industries-inc-analysis-october-2015-update-mhk/" TargetMode="External"/><Relationship Id="rId547" Type="http://schemas.openxmlformats.org/officeDocument/2006/relationships/hyperlink" Target="http://www.moderngraham.com/2015/02/17/zions-bancorporation-annual-valuation-2015-zion/" TargetMode="External"/><Relationship Id="rId90" Type="http://schemas.openxmlformats.org/officeDocument/2006/relationships/hyperlink" Target="http://www.moderngraham.com/2016/02/02/biogen-inc-valuation-february-2016-update-biib/" TargetMode="External"/><Relationship Id="rId165" Type="http://schemas.openxmlformats.org/officeDocument/2006/relationships/hyperlink" Target="http://www.moderngraham.com/2015/02/27/diamond-offshore-drilling-inc-annual-valuation-2015-do/" TargetMode="External"/><Relationship Id="rId186" Type="http://schemas.openxmlformats.org/officeDocument/2006/relationships/hyperlink" Target="http://www.moderngraham.com/2015/07/21/enterprise-products-partners-lp-analysis-initial-coverage-epd/" TargetMode="External"/><Relationship Id="rId351" Type="http://schemas.openxmlformats.org/officeDocument/2006/relationships/hyperlink" Target="http://www.moderngraham.com/2015/11/18/murphy-oil-corporation-valuation-november-2015-update-mur/" TargetMode="External"/><Relationship Id="rId372" Type="http://schemas.openxmlformats.org/officeDocument/2006/relationships/hyperlink" Target="http://www.moderngraham.com/2016/01/25/northern-trust-corp-valuation-january-2016-update-ntrs/" TargetMode="External"/><Relationship Id="rId393" Type="http://schemas.openxmlformats.org/officeDocument/2006/relationships/hyperlink" Target="http://www.moderngraham.com/2015/01/25/pepsico-inc-annual-valuation-2015-pep/" TargetMode="External"/><Relationship Id="rId407" Type="http://schemas.openxmlformats.org/officeDocument/2006/relationships/hyperlink" Target="http://www.moderngraham.com/2015/12/10/pepco-holdings-inc-valuation-december-2015-update-pom/" TargetMode="External"/><Relationship Id="rId428" Type="http://schemas.openxmlformats.org/officeDocument/2006/relationships/hyperlink" Target="http://www.moderngraham.com/2016/02/11/robert-half-international-inc-valuation-february-2016-rhi/" TargetMode="External"/><Relationship Id="rId449" Type="http://schemas.openxmlformats.org/officeDocument/2006/relationships/hyperlink" Target="http://www.moderngraham.com/2016/02/11/snap-on-inc-valuation-february-2016-sna/" TargetMode="External"/><Relationship Id="rId211" Type="http://schemas.openxmlformats.org/officeDocument/2006/relationships/hyperlink" Target="http://www.moderngraham.com/2015/11/13/flir-systems-inc-valuation-november-2015-update-flir/" TargetMode="External"/><Relationship Id="rId232" Type="http://schemas.openxmlformats.org/officeDocument/2006/relationships/hyperlink" Target="http://www.moderngraham.com/2015/06/02/genworth-financial-analysis-2015-annual-update-gnw/" TargetMode="External"/><Relationship Id="rId253" Type="http://schemas.openxmlformats.org/officeDocument/2006/relationships/hyperlink" Target="http://www.moderngraham.com/2016/02/10/honeywell-international-inc-valuation-february-2016-hon/" TargetMode="External"/><Relationship Id="rId274" Type="http://schemas.openxmlformats.org/officeDocument/2006/relationships/hyperlink" Target="http://www.moderngraham.com/2016/01/30/intuitive-surgical-inc-valuation-january-2016-update-isrg/" TargetMode="External"/><Relationship Id="rId295" Type="http://schemas.openxmlformats.org/officeDocument/2006/relationships/hyperlink" Target="http://www.moderngraham.com/2015/07/21/kroger-company-analysis-2015-update-kr/" TargetMode="External"/><Relationship Id="rId309" Type="http://schemas.openxmlformats.org/officeDocument/2006/relationships/hyperlink" Target="http://www.moderngraham.com/2016/01/08/lowes-companies-inc-valuation-january-2016-update-low/" TargetMode="External"/><Relationship Id="rId460" Type="http://schemas.openxmlformats.org/officeDocument/2006/relationships/hyperlink" Target="http://www.moderngraham.com/2015/11/27/state-street-corp-valuation-november-2015-update-stt/" TargetMode="External"/><Relationship Id="rId481" Type="http://schemas.openxmlformats.org/officeDocument/2006/relationships/hyperlink" Target="http://www.moderngraham.com/2016/02/04/torchmark-corp-valuation-february-2016-tmk/" TargetMode="External"/><Relationship Id="rId516" Type="http://schemas.openxmlformats.org/officeDocument/2006/relationships/hyperlink" Target="http://www.moderngraham.com/2015/09/22/waters-corporation-analysis-september-2015-update-wat/" TargetMode="External"/><Relationship Id="rId27" Type="http://schemas.openxmlformats.org/officeDocument/2006/relationships/hyperlink" Target="http://www.moderngraham.com/2016/02/09/american-financial-group-inc-valuation-february-2016-afg/" TargetMode="External"/><Relationship Id="rId48" Type="http://schemas.openxmlformats.org/officeDocument/2006/relationships/hyperlink" Target="http://www.moderngraham.com/2016/02/03/ametek-inc-valuation-february-2016-update-ame/" TargetMode="External"/><Relationship Id="rId69" Type="http://schemas.openxmlformats.org/officeDocument/2006/relationships/hyperlink" Target="http://www.moderngraham.com/2015/12/11/arrow-electronics-inc-valuation-december-2015-update-arw/" TargetMode="External"/><Relationship Id="rId113" Type="http://schemas.openxmlformats.org/officeDocument/2006/relationships/hyperlink" Target="http://www.moderngraham.com/2015/12/11/celgene-corp-valuation-december-2015-update-celg/" TargetMode="External"/><Relationship Id="rId134" Type="http://schemas.openxmlformats.org/officeDocument/2006/relationships/hyperlink" Target="http://www.moderngraham.com/2016/01/08/rockwell-collins-inc-valuation-january-2016-update-col/" TargetMode="External"/><Relationship Id="rId320" Type="http://schemas.openxmlformats.org/officeDocument/2006/relationships/hyperlink" Target="http://www.moderngraham.com/2015/09/02/masco-corporation-analysis-september-2015-update-mas/" TargetMode="External"/><Relationship Id="rId537" Type="http://schemas.openxmlformats.org/officeDocument/2006/relationships/hyperlink" Target="http://www.moderngraham.com/2015/09/23/xcel-energy-inc-analysis-september-2015-update-xel/" TargetMode="External"/><Relationship Id="rId80" Type="http://schemas.openxmlformats.org/officeDocument/2006/relationships/hyperlink" Target="http://www.moderngraham.com/2016/02/09/baxter-international-inc-valuation-february-2016-bax/" TargetMode="External"/><Relationship Id="rId155" Type="http://schemas.openxmlformats.org/officeDocument/2006/relationships/hyperlink" Target="http://www.moderngraham.com/2016/01/26/quest-diagnostics-inc-valuation-january-2016-update-dgx/" TargetMode="External"/><Relationship Id="rId176" Type="http://schemas.openxmlformats.org/officeDocument/2006/relationships/hyperlink" Target="http://www.moderngraham.com/2015/02/21/ecolab-inc-annual-valuation-2015-ecl/" TargetMode="External"/><Relationship Id="rId197" Type="http://schemas.openxmlformats.org/officeDocument/2006/relationships/hyperlink" Target="http://www.moderngraham.com/2016/02/09/edwards-lifesciences-corp-valuation-february-2016-ew/" TargetMode="External"/><Relationship Id="rId341" Type="http://schemas.openxmlformats.org/officeDocument/2006/relationships/hyperlink" Target="http://www.moderngraham.com/2015/10/14/mosaic-company-valuation-october-2015-update-mos/" TargetMode="External"/><Relationship Id="rId362" Type="http://schemas.openxmlformats.org/officeDocument/2006/relationships/hyperlink" Target="http://www.moderngraham.com/2015/06/27/nisource-analysis-2015-update-ni/" TargetMode="External"/><Relationship Id="rId383" Type="http://schemas.openxmlformats.org/officeDocument/2006/relationships/hyperlink" Target="http://www.moderngraham.com/2015/04/09/oreilly-automotive-inc-annual-valuation-2015-orly/" TargetMode="External"/><Relationship Id="rId418" Type="http://schemas.openxmlformats.org/officeDocument/2006/relationships/hyperlink" Target="http://www.moderngraham.com/2016/02/10/qualcomm-inc-valuation-february-2016-qcom/" TargetMode="External"/><Relationship Id="rId439" Type="http://schemas.openxmlformats.org/officeDocument/2006/relationships/hyperlink" Target="http://www.moderngraham.com/2015/03/02/scana-corporation-annual-valuation-2015-scg/" TargetMode="External"/><Relationship Id="rId201" Type="http://schemas.openxmlformats.org/officeDocument/2006/relationships/hyperlink" Target="http://www.moderngraham.com/2016/01/07/ford-motor-company-valuation-january-2016-update-f/" TargetMode="External"/><Relationship Id="rId222" Type="http://schemas.openxmlformats.org/officeDocument/2006/relationships/hyperlink" Target="http://www.moderngraham.com/2015/03/04/general-electric-annual-valuation-2015-ge/" TargetMode="External"/><Relationship Id="rId243" Type="http://schemas.openxmlformats.org/officeDocument/2006/relationships/hyperlink" Target="http://www.moderngraham.com/2016/01/29/hasbro-inc-valuation-january-2016-update-has/" TargetMode="External"/><Relationship Id="rId264" Type="http://schemas.openxmlformats.org/officeDocument/2006/relationships/hyperlink" Target="http://www.moderngraham.com/2015/11/10/international-business-machines-corp-valuation-november-2015-update-ibm/" TargetMode="External"/><Relationship Id="rId285" Type="http://schemas.openxmlformats.org/officeDocument/2006/relationships/hyperlink" Target="http://www.moderngraham.com/2015/02/14/kellogg-company-annual-valuation-2015-k/" TargetMode="External"/><Relationship Id="rId450" Type="http://schemas.openxmlformats.org/officeDocument/2006/relationships/hyperlink" Target="http://www.moderngraham.com/2015/11/25/sandisk-corp-valuation-november-2015-update-sndk/" TargetMode="External"/><Relationship Id="rId471" Type="http://schemas.openxmlformats.org/officeDocument/2006/relationships/hyperlink" Target="http://www.moderngraham.com/2015/11/06/molson-coors-brewing-co-valuation-november-2015-update-tap/" TargetMode="External"/><Relationship Id="rId506" Type="http://schemas.openxmlformats.org/officeDocument/2006/relationships/hyperlink" Target="http://www.moderngraham.com/2015/11/12/varian-medical-systems-inc-valuation-november-2015-update-var/" TargetMode="External"/><Relationship Id="rId17" Type="http://schemas.openxmlformats.org/officeDocument/2006/relationships/hyperlink" Target="http://www.moderngraham.com/2016/02/05/archer-daniels-midland-co-valuation-february-2016-adm/" TargetMode="External"/><Relationship Id="rId38" Type="http://schemas.openxmlformats.org/officeDocument/2006/relationships/hyperlink" Target="http://www.moderngraham.com/2016/02/19/albemarle-corp-valuation-february-2016-alb/" TargetMode="External"/><Relationship Id="rId59" Type="http://schemas.openxmlformats.org/officeDocument/2006/relationships/hyperlink" Target="http://www.moderngraham.com/2015/11/24/a-o-smith-corp-valuation-november-2015-update-aos/" TargetMode="External"/><Relationship Id="rId103" Type="http://schemas.openxmlformats.org/officeDocument/2006/relationships/hyperlink" Target="http://www.moderngraham.com/2015/08/15/conagra-foods-inc-analysis-august-2015-update-cag/" TargetMode="External"/><Relationship Id="rId124" Type="http://schemas.openxmlformats.org/officeDocument/2006/relationships/hyperlink" Target="http://www.moderngraham.com/2015/01/26/comcast-corporation-annual-valuation-2015-cmcsa/" TargetMode="External"/><Relationship Id="rId310" Type="http://schemas.openxmlformats.org/officeDocument/2006/relationships/hyperlink" Target="http://www.moderngraham.com/2016/01/04/lam-research-corp-valuation-january-2016-update-lrcx/" TargetMode="External"/><Relationship Id="rId492" Type="http://schemas.openxmlformats.org/officeDocument/2006/relationships/hyperlink" Target="http://www.moderngraham.com/2016/02/10/texas-instruments-inc-valuation-february-2016-txn/" TargetMode="External"/><Relationship Id="rId527" Type="http://schemas.openxmlformats.org/officeDocument/2006/relationships/hyperlink" Target="http://www.moderngraham.com/2015/10/29/western-refining-inc-valuation-october-2015-update-wnr/" TargetMode="External"/><Relationship Id="rId548" Type="http://schemas.openxmlformats.org/officeDocument/2006/relationships/hyperlink" Target="http://www.moderngraham.com/2015/10/28/zoetis-inc-valuation-october-2015-update-zts/" TargetMode="External"/><Relationship Id="rId70" Type="http://schemas.openxmlformats.org/officeDocument/2006/relationships/hyperlink" Target="http://www.moderngraham.com/2016/01/07/ashland-inc-valuation-january-2016-update-ash/" TargetMode="External"/><Relationship Id="rId91" Type="http://schemas.openxmlformats.org/officeDocument/2006/relationships/hyperlink" Target="http://www.moderngraham.com/2016/01/08/bank-of-new-york-mellon-valuation-january-2016-update-bk/" TargetMode="External"/><Relationship Id="rId145" Type="http://schemas.openxmlformats.org/officeDocument/2006/relationships/hyperlink" Target="http://www.moderngraham.com/2015/01/03/citrix-systems-inc-annual-valuation-2015-ctxs/" TargetMode="External"/><Relationship Id="rId166" Type="http://schemas.openxmlformats.org/officeDocument/2006/relationships/hyperlink" Target="http://www.moderngraham.com/2015/12/11/dover-corp-valuation-december-2015-update-dov/" TargetMode="External"/><Relationship Id="rId187" Type="http://schemas.openxmlformats.org/officeDocument/2006/relationships/hyperlink" Target="http://www.moderngraham.com/2015/07/16/equinix-inc-analysis-initial-coverage-eqix/" TargetMode="External"/><Relationship Id="rId331" Type="http://schemas.openxmlformats.org/officeDocument/2006/relationships/hyperlink" Target="http://www.moderngraham.com/2015/11/19/mead-johnson-nutrition-co-valuation-november-2015-update-mjn/" TargetMode="External"/><Relationship Id="rId352" Type="http://schemas.openxmlformats.org/officeDocument/2006/relationships/hyperlink" Target="http://www.moderngraham.com/2016/01/06/mylan-nv-valuation-january-2016-update-myl/" TargetMode="External"/><Relationship Id="rId373" Type="http://schemas.openxmlformats.org/officeDocument/2006/relationships/hyperlink" Target="http://www.moderngraham.com/2016/02/04/nucor-corp-valuation-february-2016-update-nue/" TargetMode="External"/><Relationship Id="rId394" Type="http://schemas.openxmlformats.org/officeDocument/2006/relationships/hyperlink" Target="http://www.moderngraham.com/2016/02/09/pfizer-inc-valuation-february-2016-pfe/" TargetMode="External"/><Relationship Id="rId408" Type="http://schemas.openxmlformats.org/officeDocument/2006/relationships/hyperlink" Target="http://www.moderngraham.com/2015/03/11/ppg-industries-inc-annual-valuation-2015-ppg/" TargetMode="External"/><Relationship Id="rId429" Type="http://schemas.openxmlformats.org/officeDocument/2006/relationships/hyperlink" Target="http://www.moderngraham.com/2015/05/08/red-hat-inc-annual-valuation-may-2015-rht/" TargetMode="External"/><Relationship Id="rId1" Type="http://schemas.openxmlformats.org/officeDocument/2006/relationships/hyperlink" Target="http://www.moderngraham.com/2016/02/11/agilent-technologies-inc-valuation-february-2016/" TargetMode="External"/><Relationship Id="rId212" Type="http://schemas.openxmlformats.org/officeDocument/2006/relationships/hyperlink" Target="http://www.moderngraham.com/2016/02/03/fluor-corp-valuation-february-2016-update-flr/" TargetMode="External"/><Relationship Id="rId233" Type="http://schemas.openxmlformats.org/officeDocument/2006/relationships/hyperlink" Target="http://www.moderngraham.com/2015/10/28/alphabet-inc-valuation-october-2015-update-goog-googl/" TargetMode="External"/><Relationship Id="rId254" Type="http://schemas.openxmlformats.org/officeDocument/2006/relationships/hyperlink" Target="http://www.moderngraham.com/2015/07/15/starwood-hotels-resorts-worldwide-inc-analysis-july-2015-update-hot/" TargetMode="External"/><Relationship Id="rId440" Type="http://schemas.openxmlformats.org/officeDocument/2006/relationships/hyperlink" Target="http://www.moderngraham.com/2015/03/29/charles-schwab-corporation-annual-valuation-2015-schw/" TargetMode="External"/><Relationship Id="rId28" Type="http://schemas.openxmlformats.org/officeDocument/2006/relationships/hyperlink" Target="http://www.moderngraham.com/2016/02/04/aflac-inc-valuation-february-2016-afl/" TargetMode="External"/><Relationship Id="rId49" Type="http://schemas.openxmlformats.org/officeDocument/2006/relationships/hyperlink" Target="http://www.moderngraham.com/2015/08/28/affiliated-managers-group-analysis-initial-coverage-amg/" TargetMode="External"/><Relationship Id="rId114" Type="http://schemas.openxmlformats.org/officeDocument/2006/relationships/hyperlink" Target="http://www.moderngraham.com/2016/02/02/cerner-corporation-valuation-february-2016-update-cern/" TargetMode="External"/><Relationship Id="rId275" Type="http://schemas.openxmlformats.org/officeDocument/2006/relationships/hyperlink" Target="http://www.moderngraham.com/2016/01/05/illinois-tool-works-inc-valuation-january-2016-update-itw/" TargetMode="External"/><Relationship Id="rId296" Type="http://schemas.openxmlformats.org/officeDocument/2006/relationships/hyperlink" Target="http://www.moderngraham.com/2015/11/18/kohls-corporation-valuation-november-2015-update-kss/" TargetMode="External"/><Relationship Id="rId300" Type="http://schemas.openxmlformats.org/officeDocument/2006/relationships/hyperlink" Target="http://www.moderngraham.com/2016/02/16/leggett-platt-inc-stock-valuation-february-2016-leg/" TargetMode="External"/><Relationship Id="rId461" Type="http://schemas.openxmlformats.org/officeDocument/2006/relationships/hyperlink" Target="http://www.moderngraham.com/2016/02/17/starwood-property-trust-inc-stock-valuation-february-2016-stwd/" TargetMode="External"/><Relationship Id="rId482" Type="http://schemas.openxmlformats.org/officeDocument/2006/relationships/hyperlink" Target="http://www.moderngraham.com/2015/08/06/thermo-fisher-scientific-inc-analysis-2015-update-tmo/" TargetMode="External"/><Relationship Id="rId517" Type="http://schemas.openxmlformats.org/officeDocument/2006/relationships/hyperlink" Target="http://www.moderngraham.com/2015/05/10/walgreens-boots-alliance-inc-annual-valuation-2015-wba/" TargetMode="External"/><Relationship Id="rId538" Type="http://schemas.openxmlformats.org/officeDocument/2006/relationships/hyperlink" Target="http://www.moderngraham.com/2015/03/31/xl-group-annual-valuation-2015-xl/" TargetMode="External"/><Relationship Id="rId60" Type="http://schemas.openxmlformats.org/officeDocument/2006/relationships/hyperlink" Target="http://www.moderngraham.com/2016/01/30/apache-corporation-valuation-january-2016-update-apa/" TargetMode="External"/><Relationship Id="rId81" Type="http://schemas.openxmlformats.org/officeDocument/2006/relationships/hyperlink" Target="http://www.moderngraham.com/2015/11/24/bed-bath-beyond-inc-valuation-november-2015-update-bbby/" TargetMode="External"/><Relationship Id="rId135" Type="http://schemas.openxmlformats.org/officeDocument/2006/relationships/hyperlink" Target="http://www.moderngraham.com/2015/01/26/conoco-phillips-annual-valuation-2015-cop/" TargetMode="External"/><Relationship Id="rId156" Type="http://schemas.openxmlformats.org/officeDocument/2006/relationships/hyperlink" Target="http://www.moderngraham.com/2016/01/27/d-r-horton-inc-valuation-january-2016-update-dhi/" TargetMode="External"/><Relationship Id="rId177" Type="http://schemas.openxmlformats.org/officeDocument/2006/relationships/hyperlink" Target="http://www.moderngraham.com/2015/06/12/consolidated-edison-analysis-2015-update-ed/" TargetMode="External"/><Relationship Id="rId198" Type="http://schemas.openxmlformats.org/officeDocument/2006/relationships/hyperlink" Target="http://www.moderngraham.com/2015/03/01/exelon-corporation-annual-valuation-2015-exc/" TargetMode="External"/><Relationship Id="rId321" Type="http://schemas.openxmlformats.org/officeDocument/2006/relationships/hyperlink" Target="http://www.moderngraham.com/2016/01/30/mattel-inc-valuation-january-2016-update-mat/" TargetMode="External"/><Relationship Id="rId342" Type="http://schemas.openxmlformats.org/officeDocument/2006/relationships/hyperlink" Target="http://www.moderngraham.com/2015/07/23/marathon-petroleum-corporation-analysis-2015-update-mpc/" TargetMode="External"/><Relationship Id="rId363" Type="http://schemas.openxmlformats.org/officeDocument/2006/relationships/hyperlink" Target="http://www.moderngraham.com/2015/11/12/nike-inc-valuation-november-2015-update-nke/" TargetMode="External"/><Relationship Id="rId384" Type="http://schemas.openxmlformats.org/officeDocument/2006/relationships/hyperlink" Target="http://www.moderngraham.com/2015/06/11/occidental-petroleum-corporation-2015-update-oxy/" TargetMode="External"/><Relationship Id="rId419" Type="http://schemas.openxmlformats.org/officeDocument/2006/relationships/hyperlink" Target="http://www.moderngraham.com/2015/02/15/qep-resources-inc-annual-valuation-2015-qep/" TargetMode="External"/><Relationship Id="rId202" Type="http://schemas.openxmlformats.org/officeDocument/2006/relationships/hyperlink" Target="http://www.moderngraham.com/2015/11/27/fastenal-co-valuation-november-2015-update-fast/" TargetMode="External"/><Relationship Id="rId223" Type="http://schemas.openxmlformats.org/officeDocument/2006/relationships/hyperlink" Target="http://www.moderngraham.com/2015/07/30/goldcorp-inc-analysis-initial-coverage-gg/" TargetMode="External"/><Relationship Id="rId244" Type="http://schemas.openxmlformats.org/officeDocument/2006/relationships/hyperlink" Target="http://www.moderngraham.com/2016/01/04/huntington-bancshares-valuation-january-2016-update-hban/" TargetMode="External"/><Relationship Id="rId430" Type="http://schemas.openxmlformats.org/officeDocument/2006/relationships/hyperlink" Target="http://www.moderngraham.com/2015/05/14/transocean-limited-annual-valuation-2015-rig/" TargetMode="External"/><Relationship Id="rId18" Type="http://schemas.openxmlformats.org/officeDocument/2006/relationships/hyperlink" Target="http://www.moderngraham.com/2015/09/25/automatic-data-processing-analysis-september-2015-update-adp/" TargetMode="External"/><Relationship Id="rId39" Type="http://schemas.openxmlformats.org/officeDocument/2006/relationships/hyperlink" Target="http://www.moderngraham.com/2015/08/12/alexander-baldwin-inc-analysis-initial-coverage-alex/" TargetMode="External"/><Relationship Id="rId265" Type="http://schemas.openxmlformats.org/officeDocument/2006/relationships/hyperlink" Target="http://www.moderngraham.com/2015/05/09/intercontinental-exchange-inc-annual-valuation-2015-ice/" TargetMode="External"/><Relationship Id="rId286" Type="http://schemas.openxmlformats.org/officeDocument/2006/relationships/hyperlink" Target="http://www.moderngraham.com/2015/11/27/keycorp-valuation-november-2015-update-key/" TargetMode="External"/><Relationship Id="rId451" Type="http://schemas.openxmlformats.org/officeDocument/2006/relationships/hyperlink" Target="http://www.moderngraham.com/2016/02/01/scripps-networks-interactive-inc-valuation-february-2016-update-sni/" TargetMode="External"/><Relationship Id="rId472" Type="http://schemas.openxmlformats.org/officeDocument/2006/relationships/hyperlink" Target="http://www.moderngraham.com/2015/09/08/teradata-corporation-analysis-september-2015-update-tdc/" TargetMode="External"/><Relationship Id="rId493" Type="http://schemas.openxmlformats.org/officeDocument/2006/relationships/hyperlink" Target="http://www.moderngraham.com/2015/12/11/textron-inc-valuation-december-2015-update-txt/" TargetMode="External"/><Relationship Id="rId507" Type="http://schemas.openxmlformats.org/officeDocument/2006/relationships/hyperlink" Target="http://www.moderngraham.com/2016/02/01/vf-corporation-valuation-february-2016-update-vfc/" TargetMode="External"/><Relationship Id="rId528" Type="http://schemas.openxmlformats.org/officeDocument/2006/relationships/hyperlink" Target="http://www.moderngraham.com/2015/07/29/wpx-energy-inc-analysis-2015-update-wpx/" TargetMode="External"/><Relationship Id="rId549" Type="http://schemas.openxmlformats.org/officeDocument/2006/relationships/printerSettings" Target="../printerSettings/printerSettings2.bin"/><Relationship Id="rId50" Type="http://schemas.openxmlformats.org/officeDocument/2006/relationships/hyperlink" Target="http://www.moderngraham.com/2016/02/17/amgen-inc-valuation-february-2016-amgn/" TargetMode="External"/><Relationship Id="rId104" Type="http://schemas.openxmlformats.org/officeDocument/2006/relationships/hyperlink" Target="http://www.moderngraham.com/2015/01/28/cardinal-health-inc-annual-valuation-2015-cah/" TargetMode="External"/><Relationship Id="rId125" Type="http://schemas.openxmlformats.org/officeDocument/2006/relationships/hyperlink" Target="http://www.moderngraham.com/2015/10/05/cme-group-inc-analysis-october-2015-update-cme/" TargetMode="External"/><Relationship Id="rId146" Type="http://schemas.openxmlformats.org/officeDocument/2006/relationships/hyperlink" Target="http://www.moderngraham.com/2015/01/25/cablevision-systems-corporation-annual-valuation-2015-cvc/" TargetMode="External"/><Relationship Id="rId167" Type="http://schemas.openxmlformats.org/officeDocument/2006/relationships/hyperlink" Target="http://www.moderngraham.com/2016/01/28/dow-chemical-co-valuation-january-2016-update-dow/" TargetMode="External"/><Relationship Id="rId188" Type="http://schemas.openxmlformats.org/officeDocument/2006/relationships/hyperlink" Target="http://www.moderngraham.com/2015/06/17/equity-residential-analysis-2015-update-eqr/" TargetMode="External"/><Relationship Id="rId311" Type="http://schemas.openxmlformats.org/officeDocument/2006/relationships/hyperlink" Target="http://www.moderngraham.com/2015/05/19/leucadia-national-corporation-annual-valuation-2015-luk/" TargetMode="External"/><Relationship Id="rId332" Type="http://schemas.openxmlformats.org/officeDocument/2006/relationships/hyperlink" Target="http://www.moderngraham.com/2015/08/15/mccormick-company-inc-analysis-august-2015-update-mkc/" TargetMode="External"/><Relationship Id="rId353" Type="http://schemas.openxmlformats.org/officeDocument/2006/relationships/hyperlink" Target="http://www.moderngraham.com/2015/07/29/navient-corporation-analysis-initial-coverage-navi/" TargetMode="External"/><Relationship Id="rId374" Type="http://schemas.openxmlformats.org/officeDocument/2006/relationships/hyperlink" Target="http://www.moderngraham.com/2015/11/13/nvidia-corporation-valuation-november-2015-update-nvda/" TargetMode="External"/><Relationship Id="rId395" Type="http://schemas.openxmlformats.org/officeDocument/2006/relationships/hyperlink" Target="http://www.moderngraham.com/2015/11/11/principal-financial-group-valuation-november-2015-update-pfg/" TargetMode="External"/><Relationship Id="rId409" Type="http://schemas.openxmlformats.org/officeDocument/2006/relationships/hyperlink" Target="http://www.moderngraham.com/2016/01/30/ppl-corporation-valuation-january-2016-update-ppl/" TargetMode="External"/><Relationship Id="rId71" Type="http://schemas.openxmlformats.org/officeDocument/2006/relationships/hyperlink" Target="http://www.moderngraham.com/2015/11/24/allegheny-technologies-inc-valuation-november-2015-update-ati/" TargetMode="External"/><Relationship Id="rId92" Type="http://schemas.openxmlformats.org/officeDocument/2006/relationships/hyperlink" Target="http://www.moderngraham.com/2015/11/11/blackrock-inc-valuation-november-2015-update-blk/" TargetMode="External"/><Relationship Id="rId213" Type="http://schemas.openxmlformats.org/officeDocument/2006/relationships/hyperlink" Target="http://www.moderngraham.com/2015/11/19/flowserve-corp-valuation-november-2015-update-fls/" TargetMode="External"/><Relationship Id="rId234" Type="http://schemas.openxmlformats.org/officeDocument/2006/relationships/hyperlink" Target="http://www.moderngraham.com/2015/10/28/alphabet-inc-valuation-october-2015-update-goog-googl/" TargetMode="External"/><Relationship Id="rId420" Type="http://schemas.openxmlformats.org/officeDocument/2006/relationships/hyperlink" Target="http://www.moderngraham.com/2015/07/30/qorvo-inc-analysis-initial-coverage-qrvo/" TargetMode="External"/><Relationship Id="rId2" Type="http://schemas.openxmlformats.org/officeDocument/2006/relationships/hyperlink" Target="http://www.moderngraham.com/2015/01/24/alcoa-inc-annual-valuation-2015-aa/" TargetMode="External"/><Relationship Id="rId29" Type="http://schemas.openxmlformats.org/officeDocument/2006/relationships/hyperlink" Target="http://www.moderngraham.com/2016/02/10/agco-corporation-valuation-february-2016-agco/" TargetMode="External"/><Relationship Id="rId255" Type="http://schemas.openxmlformats.org/officeDocument/2006/relationships/hyperlink" Target="http://www.moderngraham.com/2015/11/27/helmerich-payne-inc-valuation-november-2015-update-hp/" TargetMode="External"/><Relationship Id="rId276" Type="http://schemas.openxmlformats.org/officeDocument/2006/relationships/hyperlink" Target="http://www.moderngraham.com/2016/01/25/invesco-ltd-valuation-january-2016-update-ivz/" TargetMode="External"/><Relationship Id="rId297" Type="http://schemas.openxmlformats.org/officeDocument/2006/relationships/hyperlink" Target="http://www.moderngraham.com/2015/08/13/kansas-city-southern-analysis-august-2015-update-ksu/" TargetMode="External"/><Relationship Id="rId441" Type="http://schemas.openxmlformats.org/officeDocument/2006/relationships/hyperlink" Target="http://www.moderngraham.com/2015/04/09/spectra-energy-corporation-april-2015-se/" TargetMode="External"/><Relationship Id="rId462" Type="http://schemas.openxmlformats.org/officeDocument/2006/relationships/hyperlink" Target="http://www.moderngraham.com/2016/01/26/seagate-technology-plc-valuation-january-2016-update-stx/" TargetMode="External"/><Relationship Id="rId483" Type="http://schemas.openxmlformats.org/officeDocument/2006/relationships/hyperlink" Target="http://www.moderngraham.com/2015/11/24/tripadvisor-inc-valuation-november-2015-update-trip/" TargetMode="External"/><Relationship Id="rId518" Type="http://schemas.openxmlformats.org/officeDocument/2006/relationships/hyperlink" Target="http://www.moderngraham.com/2016/02/11/western-digital-corp-valuation-february-2016/" TargetMode="External"/><Relationship Id="rId539" Type="http://schemas.openxmlformats.org/officeDocument/2006/relationships/hyperlink" Target="http://www.moderngraham.com/2016/02/11/xilinx-inc-valuation-february-2016-xlnx/" TargetMode="External"/><Relationship Id="rId40" Type="http://schemas.openxmlformats.org/officeDocument/2006/relationships/hyperlink" Target="http://www.moderngraham.com/2015/11/12/align-technology-inc-valuation-november-2015-update-algn/" TargetMode="External"/><Relationship Id="rId115" Type="http://schemas.openxmlformats.org/officeDocument/2006/relationships/hyperlink" Target="http://www.moderngraham.com/2015/09/24/cf-industries-holdings-inc-analysis-september-2015-update-cf/" TargetMode="External"/><Relationship Id="rId136" Type="http://schemas.openxmlformats.org/officeDocument/2006/relationships/hyperlink" Target="http://www.moderngraham.com/2015/01/26/costco-wholesale-corporation-annual-valuation-2015-cost/" TargetMode="External"/><Relationship Id="rId157" Type="http://schemas.openxmlformats.org/officeDocument/2006/relationships/hyperlink" Target="http://www.moderngraham.com/2015/11/12/danaher-corporation-valuation-november-2015-update-dhr/" TargetMode="External"/><Relationship Id="rId178" Type="http://schemas.openxmlformats.org/officeDocument/2006/relationships/hyperlink" Target="http://www.moderngraham.com/2015/04/04/equifax-inc-annual-valuation-2015-efx/" TargetMode="External"/><Relationship Id="rId301" Type="http://schemas.openxmlformats.org/officeDocument/2006/relationships/hyperlink" Target="http://www.moderngraham.com/2015/11/12/lennar-corporation-valuation-november-2015-update-len/" TargetMode="External"/><Relationship Id="rId322" Type="http://schemas.openxmlformats.org/officeDocument/2006/relationships/hyperlink" Target="http://www.moderngraham.com/2015/11/10/mcdonalds-corporation-november-2015-update-mcd/" TargetMode="External"/><Relationship Id="rId343" Type="http://schemas.openxmlformats.org/officeDocument/2006/relationships/hyperlink" Target="http://www.moderngraham.com/2015/11/11/merck-co-valuation-november-2015-update-mrk/" TargetMode="External"/><Relationship Id="rId364" Type="http://schemas.openxmlformats.org/officeDocument/2006/relationships/hyperlink" Target="http://www.moderngraham.com/2015/07/16/nielsen-nv-analysis-july-2015-update-nlsn/" TargetMode="External"/><Relationship Id="rId61" Type="http://schemas.openxmlformats.org/officeDocument/2006/relationships/hyperlink" Target="http://www.moderngraham.com/2016/01/29/anadarko-petroleum-corp-valuation-january-2016-update-apc/" TargetMode="External"/><Relationship Id="rId82" Type="http://schemas.openxmlformats.org/officeDocument/2006/relationships/hyperlink" Target="http://www.moderngraham.com/2015/11/16/bbt-corporation-valuation-november-2015-update-bbt/" TargetMode="External"/><Relationship Id="rId199" Type="http://schemas.openxmlformats.org/officeDocument/2006/relationships/hyperlink" Target="http://www.moderngraham.com/2016/01/04/expeditors-international-of-washington-valuation-january-2016-update-expd/" TargetMode="External"/><Relationship Id="rId203" Type="http://schemas.openxmlformats.org/officeDocument/2006/relationships/hyperlink" Target="http://www.moderngraham.com/2016/01/29/facebook-inc-valuation-january-2016-update-fb/" TargetMode="External"/><Relationship Id="rId385" Type="http://schemas.openxmlformats.org/officeDocument/2006/relationships/hyperlink" Target="http://www.moderngraham.com/2015/11/18/paychex-inc-valuation-november-2015-update-payx/" TargetMode="External"/><Relationship Id="rId19" Type="http://schemas.openxmlformats.org/officeDocument/2006/relationships/hyperlink" Target="http://www.moderngraham.com/2015/10/05/alliance-data-systems-corporation-analysis-october-2015-update-ads/" TargetMode="External"/><Relationship Id="rId224" Type="http://schemas.openxmlformats.org/officeDocument/2006/relationships/hyperlink" Target="http://www.moderngraham.com/2015/02/21/general-growth-properties-inc-annual-valuation-2015-ggp/" TargetMode="External"/><Relationship Id="rId245" Type="http://schemas.openxmlformats.org/officeDocument/2006/relationships/hyperlink" Target="http://www.moderngraham.com/2016/02/03/hanesbrands-inc-valuation-february-2016-update-hbi/" TargetMode="External"/><Relationship Id="rId266" Type="http://schemas.openxmlformats.org/officeDocument/2006/relationships/hyperlink" Target="http://www.moderngraham.com/2015/12/11/international-flavors-fragrances-valuation-december-2015-update-iff/" TargetMode="External"/><Relationship Id="rId287" Type="http://schemas.openxmlformats.org/officeDocument/2006/relationships/hyperlink" Target="http://www.moderngraham.com/2016/02/16/kimco-realty-corp-stock-valuation-february-2016-kim/" TargetMode="External"/><Relationship Id="rId410" Type="http://schemas.openxmlformats.org/officeDocument/2006/relationships/hyperlink" Target="http://www.moderngraham.com/2016/01/26/perrigo-co-plc-valuation-january-2016-update-prgo/" TargetMode="External"/><Relationship Id="rId431" Type="http://schemas.openxmlformats.org/officeDocument/2006/relationships/hyperlink" Target="http://www.moderngraham.com/2016/02/16/ralph-lauren-corp-stock-valuation-february-2016-rl/" TargetMode="External"/><Relationship Id="rId452" Type="http://schemas.openxmlformats.org/officeDocument/2006/relationships/hyperlink" Target="http://www.moderngraham.com/2015/01/28/southern-company-annual-valuation-2015-so/" TargetMode="External"/><Relationship Id="rId473" Type="http://schemas.openxmlformats.org/officeDocument/2006/relationships/hyperlink" Target="http://www.moderngraham.com/2015/06/12/tidewater-inc-analysis-2015-update-tdw/" TargetMode="External"/><Relationship Id="rId494" Type="http://schemas.openxmlformats.org/officeDocument/2006/relationships/hyperlink" Target="http://www.moderngraham.com/2015/11/24/tyco-international-plc-valuation-november-2015-update-tyc/" TargetMode="External"/><Relationship Id="rId508" Type="http://schemas.openxmlformats.org/officeDocument/2006/relationships/hyperlink" Target="http://www.moderngraham.com/2015/01/05/viacom-inc-annual-valuation-2015-viab/" TargetMode="External"/><Relationship Id="rId529" Type="http://schemas.openxmlformats.org/officeDocument/2006/relationships/hyperlink" Target="http://www.moderngraham.com/2015/07/28/westar-energy-inc-analysis-initial-coverage-wr/" TargetMode="External"/><Relationship Id="rId30" Type="http://schemas.openxmlformats.org/officeDocument/2006/relationships/hyperlink" Target="http://www.moderngraham.com/2015/08/21/allergan-plc-analysis-august-2015-update-agn/" TargetMode="External"/><Relationship Id="rId105" Type="http://schemas.openxmlformats.org/officeDocument/2006/relationships/hyperlink" Target="http://www.moderngraham.com/2015/09/25/cameron-international-company-analysis-september-2015-update-cam/" TargetMode="External"/><Relationship Id="rId126" Type="http://schemas.openxmlformats.org/officeDocument/2006/relationships/hyperlink" Target="http://www.moderngraham.com/2016/02/16/chipotle-mexican-grill-inc-stock-valuation-february-2016-cmg/" TargetMode="External"/><Relationship Id="rId147" Type="http://schemas.openxmlformats.org/officeDocument/2006/relationships/hyperlink" Target="http://www.moderngraham.com/2015/12/11/cvs-health-corp-valuation-december-2015-update-cvs/" TargetMode="External"/><Relationship Id="rId168" Type="http://schemas.openxmlformats.org/officeDocument/2006/relationships/hyperlink" Target="http://www.moderngraham.com/2015/09/11/dr-pepper-snapple-group-inc-analysis-september-2015-update-dps/" TargetMode="External"/><Relationship Id="rId312" Type="http://schemas.openxmlformats.org/officeDocument/2006/relationships/hyperlink" Target="http://www.moderngraham.com/2015/10/15/southwest-airlines-company-valuation-october-2015-update-luv/" TargetMode="External"/><Relationship Id="rId333" Type="http://schemas.openxmlformats.org/officeDocument/2006/relationships/hyperlink" Target="http://www.moderngraham.com/2016/02/04/martin-marietta-materials-inc-valuation-february-2016-update-mlm/" TargetMode="External"/><Relationship Id="rId354" Type="http://schemas.openxmlformats.org/officeDocument/2006/relationships/hyperlink" Target="http://www.moderngraham.com/2015/02/14/noble-energy-inc-annual-valuation-2015-nbl/" TargetMode="External"/><Relationship Id="rId540" Type="http://schemas.openxmlformats.org/officeDocument/2006/relationships/hyperlink" Target="http://www.moderngraham.com/2015/06/04/exxon-mobil-corporation-analysis-2015-annual-update-xom/" TargetMode="External"/><Relationship Id="rId51" Type="http://schemas.openxmlformats.org/officeDocument/2006/relationships/hyperlink" Target="http://www.moderngraham.com/2015/11/16/ameriprise-financial-inc-valuation-november-2015-update-amp/" TargetMode="External"/><Relationship Id="rId72" Type="http://schemas.openxmlformats.org/officeDocument/2006/relationships/hyperlink" Target="http://www.moderngraham.com/2014/12/28/avalonbay-communities-inc-annual-valuation-2014-avb/" TargetMode="External"/><Relationship Id="rId93" Type="http://schemas.openxmlformats.org/officeDocument/2006/relationships/hyperlink" Target="http://www.moderngraham.com/2015/08/07/ball-corporation-analysis-2015-update-bll/" TargetMode="External"/><Relationship Id="rId189" Type="http://schemas.openxmlformats.org/officeDocument/2006/relationships/hyperlink" Target="http://www.moderngraham.com/2015/05/09/eqt-corporation-annual-valuation-2015-eqt/" TargetMode="External"/><Relationship Id="rId375" Type="http://schemas.openxmlformats.org/officeDocument/2006/relationships/hyperlink" Target="http://www.moderngraham.com/2015/10/21/newell-rubbermaid-inc-valuation-october-2015-update-nwl/" TargetMode="External"/><Relationship Id="rId396" Type="http://schemas.openxmlformats.org/officeDocument/2006/relationships/hyperlink" Target="http://www.moderngraham.com/2015/02/17/proctor-gamble-annual-valuation-2015-pg/" TargetMode="External"/><Relationship Id="rId3" Type="http://schemas.openxmlformats.org/officeDocument/2006/relationships/hyperlink" Target="http://www.moderngraham.com/2015/06/19/american-airlines-group-analysis-2015-initial-coverage-aal/" TargetMode="External"/><Relationship Id="rId214" Type="http://schemas.openxmlformats.org/officeDocument/2006/relationships/hyperlink" Target="http://www.moderngraham.com/2016/01/29/fmc-corporation-valuation-january-2016-update-fmc/" TargetMode="External"/><Relationship Id="rId235" Type="http://schemas.openxmlformats.org/officeDocument/2006/relationships/hyperlink" Target="http://www.moderngraham.com/2016/01/30/genuine-parts-co-valuation-january-2016-update-gpc/" TargetMode="External"/><Relationship Id="rId256" Type="http://schemas.openxmlformats.org/officeDocument/2006/relationships/hyperlink" Target="http://www.moderngraham.com/2015/01/29/hewlett-packard-corporation-annual-valuation-2015-hpq/" TargetMode="External"/><Relationship Id="rId277" Type="http://schemas.openxmlformats.org/officeDocument/2006/relationships/hyperlink" Target="http://www.moderngraham.com/2015/02/13/jabil-circuit-inc-annual-valuation-2015-jbl/" TargetMode="External"/><Relationship Id="rId298" Type="http://schemas.openxmlformats.org/officeDocument/2006/relationships/hyperlink" Target="http://www.moderngraham.com/2015/11/04/loews-corporation-valuation-november-2015-update-l/" TargetMode="External"/><Relationship Id="rId400" Type="http://schemas.openxmlformats.org/officeDocument/2006/relationships/hyperlink" Target="http://www.moderngraham.com/2016/01/28/perkinelmer-inc-valuation-january-2016-update-pki/" TargetMode="External"/><Relationship Id="rId421" Type="http://schemas.openxmlformats.org/officeDocument/2006/relationships/hyperlink" Target="http://www.moderngraham.com/2015/02/15/ryder-system-inc-annual-valuation-2015-r/" TargetMode="External"/><Relationship Id="rId442" Type="http://schemas.openxmlformats.org/officeDocument/2006/relationships/hyperlink" Target="http://www.moderngraham.com/2015/05/16/sealed-air-corporation-annual-valuation-2015-see/" TargetMode="External"/><Relationship Id="rId463" Type="http://schemas.openxmlformats.org/officeDocument/2006/relationships/hyperlink" Target="http://www.moderngraham.com/2016/01/08/constellation-brands-inc-valuation-january-2016-update-stz/" TargetMode="External"/><Relationship Id="rId484" Type="http://schemas.openxmlformats.org/officeDocument/2006/relationships/hyperlink" Target="http://www.moderngraham.com/2016/02/17/t-rowe-price-group-inc-stock-valuation-february-2016-trow/" TargetMode="External"/><Relationship Id="rId519" Type="http://schemas.openxmlformats.org/officeDocument/2006/relationships/hyperlink" Target="http://www.moderngraham.com/2015/04/10/wisconsin-energy-corporation-annual-valuation-2015-wec/" TargetMode="External"/><Relationship Id="rId116" Type="http://schemas.openxmlformats.org/officeDocument/2006/relationships/hyperlink" Target="http://www.moderngraham.com/2015/01/25/chesapeake-energy-corporation-annual-valuation-2015-chk/" TargetMode="External"/><Relationship Id="rId137" Type="http://schemas.openxmlformats.org/officeDocument/2006/relationships/hyperlink" Target="http://www.moderngraham.com/2015/01/26/campbell-soup-company-annual-valuation-2015-cpb/" TargetMode="External"/><Relationship Id="rId158" Type="http://schemas.openxmlformats.org/officeDocument/2006/relationships/hyperlink" Target="http://www.moderngraham.com/2015/12/10/walt-disney-co-valuation-december-2015-update-dis/" TargetMode="External"/><Relationship Id="rId302" Type="http://schemas.openxmlformats.org/officeDocument/2006/relationships/hyperlink" Target="http://www.moderngraham.com/2015/05/13/laboratory-corporation-of-america-holdings-annual-valuation-2015-lh/" TargetMode="External"/><Relationship Id="rId323" Type="http://schemas.openxmlformats.org/officeDocument/2006/relationships/hyperlink" Target="http://www.moderngraham.com/2016/01/25/microchip-technology-inc-valuation-january-2016-update-mchp/" TargetMode="External"/><Relationship Id="rId344" Type="http://schemas.openxmlformats.org/officeDocument/2006/relationships/hyperlink" Target="http://www.moderngraham.com/2015/03/21/marathon-oil-corporation-annual-valuation-2015-mro/" TargetMode="External"/><Relationship Id="rId530" Type="http://schemas.openxmlformats.org/officeDocument/2006/relationships/hyperlink" Target="http://www.moderngraham.com/2016/01/26/westrock-co-valuation-january-2016-update-wrk/" TargetMode="External"/><Relationship Id="rId20" Type="http://schemas.openxmlformats.org/officeDocument/2006/relationships/hyperlink" Target="http://www.moderngraham.com/2015/08/12/autodesk-inc-analysis-august-2015-update-adsk/" TargetMode="External"/><Relationship Id="rId41" Type="http://schemas.openxmlformats.org/officeDocument/2006/relationships/hyperlink" Target="http://www.moderngraham.com/2015/08/14/alaska-air-group-inc-analysis-initial-coverage-alk/" TargetMode="External"/><Relationship Id="rId62" Type="http://schemas.openxmlformats.org/officeDocument/2006/relationships/hyperlink" Target="http://www.moderngraham.com/2016/02/09/air-products-chemicals-inc-valuation-february-2016-apd/" TargetMode="External"/><Relationship Id="rId83" Type="http://schemas.openxmlformats.org/officeDocument/2006/relationships/hyperlink" Target="http://www.moderngraham.com/2015/05/27/best-buy-stock-analysis-2015-annual-update-bby/" TargetMode="External"/><Relationship Id="rId179" Type="http://schemas.openxmlformats.org/officeDocument/2006/relationships/hyperlink" Target="http://www.moderngraham.com/2015/05/10/edison-international-annual-valuation-2015-eix/" TargetMode="External"/><Relationship Id="rId365" Type="http://schemas.openxmlformats.org/officeDocument/2006/relationships/hyperlink" Target="http://www.moderngraham.com/2015/07/28/national-retail-properties-inc-analysis-initial-coverage-nnn/" TargetMode="External"/><Relationship Id="rId386" Type="http://schemas.openxmlformats.org/officeDocument/2006/relationships/hyperlink" Target="http://www.moderngraham.com/2015/12/10/peoples-united-financial-corp-valuation-december-2015-update-pbct/" TargetMode="External"/><Relationship Id="rId190" Type="http://schemas.openxmlformats.org/officeDocument/2006/relationships/hyperlink" Target="http://www.moderngraham.com/2015/07/17/eversource-energy-analysis-initial-coverage-es/" TargetMode="External"/><Relationship Id="rId204" Type="http://schemas.openxmlformats.org/officeDocument/2006/relationships/hyperlink" Target="http://www.moderngraham.com/2015/09/14/freeport-mcmoran-inc-analysis-september-2015-update-fcx/" TargetMode="External"/><Relationship Id="rId225" Type="http://schemas.openxmlformats.org/officeDocument/2006/relationships/hyperlink" Target="http://www.moderngraham.com/2015/09/21/graham-holdings-company-analysis-september-2015-update-ghc/" TargetMode="External"/><Relationship Id="rId246" Type="http://schemas.openxmlformats.org/officeDocument/2006/relationships/hyperlink" Target="http://www.moderngraham.com/2015/07/28/hca-holdings-inc-analysis-initial-coverage-hca/" TargetMode="External"/><Relationship Id="rId267" Type="http://schemas.openxmlformats.org/officeDocument/2006/relationships/hyperlink" Target="http://www.moderngraham.com/2016/01/05/infosys-ltd-valuation-january-2016-update-infy/" TargetMode="External"/><Relationship Id="rId288" Type="http://schemas.openxmlformats.org/officeDocument/2006/relationships/hyperlink" Target="http://www.moderngraham.com/2016/02/15/kkr-co-lp-stock-valuation-february-2016-kkr/" TargetMode="External"/><Relationship Id="rId411" Type="http://schemas.openxmlformats.org/officeDocument/2006/relationships/hyperlink" Target="http://www.moderngraham.com/2016/02/11/prudential-financial-inc-valuation-february-2016-pru/" TargetMode="External"/><Relationship Id="rId432" Type="http://schemas.openxmlformats.org/officeDocument/2006/relationships/hyperlink" Target="http://www.moderngraham.com/2016/02/01/rockwell-automation-inc-valuation-february-2016-update-rok/" TargetMode="External"/><Relationship Id="rId453" Type="http://schemas.openxmlformats.org/officeDocument/2006/relationships/hyperlink" Target="http://www.moderngraham.com/2015/01/05/simon-property-group-annual-valuation-2015-spg/" TargetMode="External"/><Relationship Id="rId474" Type="http://schemas.openxmlformats.org/officeDocument/2006/relationships/hyperlink" Target="http://www.moderngraham.com/2015/03/30/teco-energy-inc-annual-valuation-2015-te/" TargetMode="External"/><Relationship Id="rId509" Type="http://schemas.openxmlformats.org/officeDocument/2006/relationships/hyperlink" Target="http://www.moderngraham.com/2016/02/10/valero-energy-corp-valuation-february-2016-vlo/" TargetMode="External"/><Relationship Id="rId106" Type="http://schemas.openxmlformats.org/officeDocument/2006/relationships/hyperlink" Target="http://www.moderngraham.com/2015/07/22/caterpillar-inc-analysis-2015-update-cat/" TargetMode="External"/><Relationship Id="rId127" Type="http://schemas.openxmlformats.org/officeDocument/2006/relationships/hyperlink" Target="http://www.moderngraham.com/2015/12/11/cummins-inc-valuation-december-2015-update-cmi/" TargetMode="External"/><Relationship Id="rId313" Type="http://schemas.openxmlformats.org/officeDocument/2006/relationships/hyperlink" Target="http://www.moderngraham.com/2015/07/21/level-3-communications-inc-analysis-initial-coverage-lvlt/" TargetMode="External"/><Relationship Id="rId495" Type="http://schemas.openxmlformats.org/officeDocument/2006/relationships/hyperlink" Target="http://www.moderngraham.com/2015/10/28/under-armour-inc-valuation-october-2015-update-ua/" TargetMode="External"/><Relationship Id="rId10" Type="http://schemas.openxmlformats.org/officeDocument/2006/relationships/hyperlink" Target="http://www.moderngraham.com/2015/08/04/american-campus-communities-inc-analysis-initial-coverage-acc/" TargetMode="External"/><Relationship Id="rId31" Type="http://schemas.openxmlformats.org/officeDocument/2006/relationships/hyperlink" Target="http://www.moderngraham.com/2015/08/09/aspen-insurance-holdings-limited-analysis-initial-coverage-ahl/" TargetMode="External"/><Relationship Id="rId52" Type="http://schemas.openxmlformats.org/officeDocument/2006/relationships/hyperlink" Target="http://www.moderngraham.com/2015/11/17/american-tower-corp-valuation-november-2015-update-amt/" TargetMode="External"/><Relationship Id="rId73" Type="http://schemas.openxmlformats.org/officeDocument/2006/relationships/hyperlink" Target="http://www.moderngraham.com/2016/01/07/avago-technologies-ltd-valuation-january-2016-update-avgo/" TargetMode="External"/><Relationship Id="rId94" Type="http://schemas.openxmlformats.org/officeDocument/2006/relationships/hyperlink" Target="http://www.moderngraham.com/2016/01/28/bemis-co-inc-valuation-january-2016-update-bms/" TargetMode="External"/><Relationship Id="rId148" Type="http://schemas.openxmlformats.org/officeDocument/2006/relationships/hyperlink" Target="http://www.moderngraham.com/2015/06/02/chevron-corporation-analysis-2015-annual-update-cvx/" TargetMode="External"/><Relationship Id="rId169" Type="http://schemas.openxmlformats.org/officeDocument/2006/relationships/hyperlink" Target="http://www.moderngraham.com/2015/09/25/darden-restaurants-inc-analysis-september-2015-update-dri/" TargetMode="External"/><Relationship Id="rId334" Type="http://schemas.openxmlformats.org/officeDocument/2006/relationships/hyperlink" Target="http://www.moderngraham.com/2016/01/31/marsh-mclennan-company-valuation-january-2016-update-mmc/" TargetMode="External"/><Relationship Id="rId355" Type="http://schemas.openxmlformats.org/officeDocument/2006/relationships/hyperlink" Target="http://www.moderngraham.com/2015/02/27/nabors-industries-limited-annual-valuation-2015-nbr/" TargetMode="External"/><Relationship Id="rId376" Type="http://schemas.openxmlformats.org/officeDocument/2006/relationships/hyperlink" Target="http://www.moderngraham.com/2015/11/04/news-corporation-valuation-november-2015-update-nwsa/" TargetMode="External"/><Relationship Id="rId397" Type="http://schemas.openxmlformats.org/officeDocument/2006/relationships/hyperlink" Target="http://www.moderngraham.com/2015/11/19/progressive-corp-valuation-november-2015-update-pgr/" TargetMode="External"/><Relationship Id="rId520" Type="http://schemas.openxmlformats.org/officeDocument/2006/relationships/hyperlink" Target="http://www.moderngraham.com/2015/12/11/wells-fargo-co-valuation-december-2015-update-wfc/" TargetMode="External"/><Relationship Id="rId541" Type="http://schemas.openxmlformats.org/officeDocument/2006/relationships/hyperlink" Target="http://www.moderngraham.com/2015/11/19/dentsply-international-inc-valuation-november-2015-update-xray/" TargetMode="External"/><Relationship Id="rId4" Type="http://schemas.openxmlformats.org/officeDocument/2006/relationships/hyperlink" Target="http://www.moderngraham.com/2015/10/29/aarons-inc-valuation-october-2015-update-aan/" TargetMode="External"/><Relationship Id="rId180" Type="http://schemas.openxmlformats.org/officeDocument/2006/relationships/hyperlink" Target="http://www.moderngraham.com/2015/10/29/the-estee-lauder-company-valuation-october-2015-update-el/" TargetMode="External"/><Relationship Id="rId215" Type="http://schemas.openxmlformats.org/officeDocument/2006/relationships/hyperlink" Target="http://www.moderngraham.com/2016/02/16/fossil-group-inc-stock-valuation-february-2016-fosl/" TargetMode="External"/><Relationship Id="rId236" Type="http://schemas.openxmlformats.org/officeDocument/2006/relationships/hyperlink" Target="http://www.moderngraham.com/2016/02/09/gap-inc-valuation-february-2016-gps/" TargetMode="External"/><Relationship Id="rId257" Type="http://schemas.openxmlformats.org/officeDocument/2006/relationships/hyperlink" Target="http://www.moderngraham.com/2015/02/17/hr-block-inc-annual-valuation-2015-hrb/" TargetMode="External"/><Relationship Id="rId278" Type="http://schemas.openxmlformats.org/officeDocument/2006/relationships/hyperlink" Target="http://www.moderngraham.com/2015/02/22/johnson-controls-inc-annual-valuation-2015-jci/" TargetMode="External"/><Relationship Id="rId401" Type="http://schemas.openxmlformats.org/officeDocument/2006/relationships/hyperlink" Target="http://www.moderngraham.com/2015/10/21/prologis-inc-valuation-october-2015-update-pld/" TargetMode="External"/><Relationship Id="rId422" Type="http://schemas.openxmlformats.org/officeDocument/2006/relationships/hyperlink" Target="http://www.moderngraham.com/2015/03/01/reynolds-american-inc-annual-valuation-2015-rai/" TargetMode="External"/><Relationship Id="rId443" Type="http://schemas.openxmlformats.org/officeDocument/2006/relationships/hyperlink" Target="http://www.moderngraham.com/2015/05/15/sherwin-williams-company-annual-valuation-2015-shw/" TargetMode="External"/><Relationship Id="rId464" Type="http://schemas.openxmlformats.org/officeDocument/2006/relationships/hyperlink" Target="http://www.moderngraham.com/2016/01/28/stanley-black-decker-inc-valuation-january-2016-update-swk/" TargetMode="External"/><Relationship Id="rId303" Type="http://schemas.openxmlformats.org/officeDocument/2006/relationships/hyperlink" Target="http://www.moderngraham.com/2015/05/15/l3-communications-holdings-inc-quarterly-valuation-may-2015-lll/" TargetMode="External"/><Relationship Id="rId485" Type="http://schemas.openxmlformats.org/officeDocument/2006/relationships/hyperlink" Target="http://www.moderngraham.com/2015/11/16/travelers-companies-inc-valuation-november-2015-update-trv/" TargetMode="External"/><Relationship Id="rId42" Type="http://schemas.openxmlformats.org/officeDocument/2006/relationships/hyperlink" Target="http://www.moderngraham.com/2015/10/29/allstate-corporation-valuation-october-2015-update-all/" TargetMode="External"/><Relationship Id="rId84" Type="http://schemas.openxmlformats.org/officeDocument/2006/relationships/hyperlink" Target="http://www.moderngraham.com/2016/02/17/c-r-bard-inc-stock-valuation-february-2016-bcr/" TargetMode="External"/><Relationship Id="rId138" Type="http://schemas.openxmlformats.org/officeDocument/2006/relationships/hyperlink" Target="http://www.moderngraham.com/2016/01/30/salesforce-com-valuation-january-2016-update-crm/" TargetMode="External"/><Relationship Id="rId345" Type="http://schemas.openxmlformats.org/officeDocument/2006/relationships/hyperlink" Target="http://www.moderngraham.com/2015/02/02/morgan-stanley-annual-valuation-2015-ms/" TargetMode="External"/><Relationship Id="rId387" Type="http://schemas.openxmlformats.org/officeDocument/2006/relationships/hyperlink" Target="http://www.moderngraham.com/2015/03/01/pitney-bowes-inc-annual-valuation-2015-pbi/" TargetMode="External"/><Relationship Id="rId510" Type="http://schemas.openxmlformats.org/officeDocument/2006/relationships/hyperlink" Target="http://www.moderngraham.com/2015/05/20/vulcan-materials-company-annual-valuation-2015-vmc/" TargetMode="External"/><Relationship Id="rId191" Type="http://schemas.openxmlformats.org/officeDocument/2006/relationships/hyperlink" Target="http://www.moderngraham.com/2015/07/30/express-scripts-inc-analysis-2015-update-esrx/" TargetMode="External"/><Relationship Id="rId205" Type="http://schemas.openxmlformats.org/officeDocument/2006/relationships/hyperlink" Target="http://www.moderngraham.com/2015/11/27/fedex-corp-valuation-november-2015-update-fdx/" TargetMode="External"/><Relationship Id="rId247" Type="http://schemas.openxmlformats.org/officeDocument/2006/relationships/hyperlink" Target="http://www.moderngraham.com/2015/11/12/welltower-inc-valuation-november-2015-update-hcn/" TargetMode="External"/><Relationship Id="rId412" Type="http://schemas.openxmlformats.org/officeDocument/2006/relationships/hyperlink" Target="http://www.moderngraham.com/2015/03/26/public-storage-annual-valuation-2015-psa/" TargetMode="External"/><Relationship Id="rId107" Type="http://schemas.openxmlformats.org/officeDocument/2006/relationships/hyperlink" Target="http://www.moderngraham.com/2016/02/15/chubb-ltd-stock-valuation-february-2016-cb/" TargetMode="External"/><Relationship Id="rId289" Type="http://schemas.openxmlformats.org/officeDocument/2006/relationships/hyperlink" Target="http://www.moderngraham.com/2016/01/06/kla-tencor-corp-valuation-january-2016-update-klac/" TargetMode="External"/><Relationship Id="rId454" Type="http://schemas.openxmlformats.org/officeDocument/2006/relationships/hyperlink" Target="http://www.moderngraham.com/2015/01/23/suburban-propane-partners-lp-annual-valuation-2015-sph/" TargetMode="External"/><Relationship Id="rId496" Type="http://schemas.openxmlformats.org/officeDocument/2006/relationships/hyperlink" Target="http://www.moderngraham.com/2015/07/16/universal-health-services-inc-analysis-initial-coverage-uhs/" TargetMode="External"/><Relationship Id="rId11" Type="http://schemas.openxmlformats.org/officeDocument/2006/relationships/hyperlink" Target="http://www.moderngraham.com/2015/08/04/aci-worldwide-inc-analysis-initial-coverage-aciw/" TargetMode="External"/><Relationship Id="rId53" Type="http://schemas.openxmlformats.org/officeDocument/2006/relationships/hyperlink" Target="http://www.moderngraham.com/2015/01/24/amazon-com-inc-annual-valuation-2015-amzn/" TargetMode="External"/><Relationship Id="rId149" Type="http://schemas.openxmlformats.org/officeDocument/2006/relationships/hyperlink" Target="http://www.moderngraham.com/2015/02/10/dominion-resources-inc-annual-valuation-2015-d/" TargetMode="External"/><Relationship Id="rId314" Type="http://schemas.openxmlformats.org/officeDocument/2006/relationships/hyperlink" Target="http://www.moderngraham.com/2015/11/25/lyondellbasell-industries-valuation-november-2015-update-lyb/" TargetMode="External"/><Relationship Id="rId356" Type="http://schemas.openxmlformats.org/officeDocument/2006/relationships/hyperlink" Target="http://www.moderngraham.com/2015/03/27/nasdaq-omx-group-inc-annual-valuation-2015-ndaq/" TargetMode="External"/><Relationship Id="rId398" Type="http://schemas.openxmlformats.org/officeDocument/2006/relationships/hyperlink" Target="http://www.moderngraham.com/2016/01/31/parker-hannifin-corp-valuation-january-2016-update-ph/" TargetMode="External"/><Relationship Id="rId521" Type="http://schemas.openxmlformats.org/officeDocument/2006/relationships/hyperlink" Target="http://www.moderngraham.com/2015/10/29/whole-foods-market-inc-valuation-october-2015-update-wfm/" TargetMode="External"/><Relationship Id="rId95" Type="http://schemas.openxmlformats.org/officeDocument/2006/relationships/hyperlink" Target="http://www.moderngraham.com/2016/02/18/bristol-myers-squibb-company-valuation-february-2016-bmy/" TargetMode="External"/><Relationship Id="rId160" Type="http://schemas.openxmlformats.org/officeDocument/2006/relationships/hyperlink" Target="http://www.moderngraham.com/2015/06/02/discovery-communications-analysis-2015-annual-update-disca/" TargetMode="External"/><Relationship Id="rId216" Type="http://schemas.openxmlformats.org/officeDocument/2006/relationships/hyperlink" Target="http://www.moderngraham.com/2016/02/02/twenty-first-century-fox-inc-valuation-february-2016-update-foxa/" TargetMode="External"/><Relationship Id="rId423" Type="http://schemas.openxmlformats.org/officeDocument/2006/relationships/hyperlink" Target="http://www.moderngraham.com/2016/01/29/raven-industries-inc-valuation-january-2016-update-ravn/" TargetMode="External"/><Relationship Id="rId258" Type="http://schemas.openxmlformats.org/officeDocument/2006/relationships/hyperlink" Target="http://www.moderngraham.com/2016/02/15/hormel-foods-corp-stock-valuation-february-2016-hrl/" TargetMode="External"/><Relationship Id="rId465" Type="http://schemas.openxmlformats.org/officeDocument/2006/relationships/hyperlink" Target="http://www.moderngraham.com/2016/02/17/skyworks-solutions-inc-stock-valuation-february-2016-swks/" TargetMode="External"/><Relationship Id="rId22" Type="http://schemas.openxmlformats.org/officeDocument/2006/relationships/hyperlink" Target="http://www.moderngraham.com/2015/06/10/ameren-corporation-analysis-2015-update-aee/" TargetMode="External"/><Relationship Id="rId64" Type="http://schemas.openxmlformats.org/officeDocument/2006/relationships/hyperlink" Target="http://www.moderngraham.com/2015/08/22/apollo-education-group-inc-analysis-initial-coverage-apol/" TargetMode="External"/><Relationship Id="rId118" Type="http://schemas.openxmlformats.org/officeDocument/2006/relationships/hyperlink" Target="http://www.moderngraham.com/2016/01/30/cigna-corp-valuation-january-2016-update-ci/" TargetMode="External"/><Relationship Id="rId325" Type="http://schemas.openxmlformats.org/officeDocument/2006/relationships/hyperlink" Target="http://www.moderngraham.com/2016/02/16/moodys-corporation-stock-valuation-february-2016-mco/" TargetMode="External"/><Relationship Id="rId367" Type="http://schemas.openxmlformats.org/officeDocument/2006/relationships/hyperlink" Target="http://www.moderngraham.com/2016/02/04/national-oilwell-varco-inc-valuation-february-2016-update-nov/" TargetMode="External"/><Relationship Id="rId532" Type="http://schemas.openxmlformats.org/officeDocument/2006/relationships/hyperlink" Target="http://www.moderngraham.com/2015/09/24/wolverine-world-wide-inc-analysis-september-2015-update-www/" TargetMode="External"/><Relationship Id="rId171" Type="http://schemas.openxmlformats.org/officeDocument/2006/relationships/hyperlink" Target="http://www.moderngraham.com/2015/11/05/duke-energy-corporation-valuation-november-2015-update-duk/" TargetMode="External"/><Relationship Id="rId227" Type="http://schemas.openxmlformats.org/officeDocument/2006/relationships/hyperlink" Target="http://www.moderngraham.com/2015/04/04/general-mills-inc-annual-valuation-2015-gis/" TargetMode="External"/><Relationship Id="rId269" Type="http://schemas.openxmlformats.org/officeDocument/2006/relationships/hyperlink" Target="http://www.moderngraham.com/2016/01/25/intuit-inc-valuation-january-2016-update-intu/" TargetMode="External"/><Relationship Id="rId434" Type="http://schemas.openxmlformats.org/officeDocument/2006/relationships/hyperlink" Target="http://www.moderngraham.com/2015/12/10/ross-stores-inc-valuation-december-2015-update-rost/" TargetMode="External"/><Relationship Id="rId476" Type="http://schemas.openxmlformats.org/officeDocument/2006/relationships/hyperlink" Target="http://www.moderngraham.com/2015/11/16/tegna-inc-valuation-november-2015-update-tgna/" TargetMode="External"/><Relationship Id="rId33" Type="http://schemas.openxmlformats.org/officeDocument/2006/relationships/hyperlink" Target="http://www.moderngraham.com/2015/01/23/apartment-investment-and-management-company-annual-valuation-2015-aiv/" TargetMode="External"/><Relationship Id="rId129" Type="http://schemas.openxmlformats.org/officeDocument/2006/relationships/hyperlink" Target="http://www.moderngraham.com/2015/03/15/centerpoint-energy-inc-annual-valuation-2015-cnp/" TargetMode="External"/><Relationship Id="rId280" Type="http://schemas.openxmlformats.org/officeDocument/2006/relationships/hyperlink" Target="http://www.moderngraham.com/2016/01/08/johnson-johnson-valuation-january-2016-update-jnj/" TargetMode="External"/><Relationship Id="rId336" Type="http://schemas.openxmlformats.org/officeDocument/2006/relationships/hyperlink" Target="http://www.moderngraham.com/2015/07/22/magellan-midstream-partners-lp-analysis-initial-coverage-mmp/" TargetMode="External"/><Relationship Id="rId501" Type="http://schemas.openxmlformats.org/officeDocument/2006/relationships/hyperlink" Target="http://www.moderngraham.com/2016/01/06/urban-outfitters-inc-valuation-january-2016-update-urbn/" TargetMode="External"/><Relationship Id="rId543" Type="http://schemas.openxmlformats.org/officeDocument/2006/relationships/hyperlink" Target="http://www.moderngraham.com/2016/01/26/xylem-inc-valuation-january-2016-update-xyl/" TargetMode="External"/><Relationship Id="rId75" Type="http://schemas.openxmlformats.org/officeDocument/2006/relationships/hyperlink" Target="http://www.moderngraham.com/2015/01/23/avery-dennison-corporation-annual-valuation-2015-avy/" TargetMode="External"/><Relationship Id="rId140" Type="http://schemas.openxmlformats.org/officeDocument/2006/relationships/hyperlink" Target="http://www.moderngraham.com/2016/02/05/cisco-systems-inc-valuation-february-2016-csco/" TargetMode="External"/><Relationship Id="rId182" Type="http://schemas.openxmlformats.org/officeDocument/2006/relationships/hyperlink" Target="http://www.moderngraham.com/2016/01/28/eastman-chemical-co-valuation-january-2016-emn/" TargetMode="External"/><Relationship Id="rId378" Type="http://schemas.openxmlformats.org/officeDocument/2006/relationships/hyperlink" Target="http://www.moderngraham.com/2015/02/14/owens-illinois-inc-annual-valuation-2015-oi/" TargetMode="External"/><Relationship Id="rId403" Type="http://schemas.openxmlformats.org/officeDocument/2006/relationships/hyperlink" Target="http://www.moderngraham.com/2016/02/16/psychemedics-corp-stock-valuation-february-2016-pmd/" TargetMode="External"/><Relationship Id="rId6" Type="http://schemas.openxmlformats.org/officeDocument/2006/relationships/hyperlink" Target="http://www.moderngraham.com/2016/02/09/apple-inc-valuation-february-2016-aapl/" TargetMode="External"/><Relationship Id="rId238" Type="http://schemas.openxmlformats.org/officeDocument/2006/relationships/hyperlink" Target="http://www.moderngraham.com/2015/11/10/goldman-sachs-group-inc-valuation-november-2015-update-gs/" TargetMode="External"/><Relationship Id="rId445" Type="http://schemas.openxmlformats.org/officeDocument/2006/relationships/hyperlink" Target="http://www.moderngraham.com/2016/02/04/schlumberger-ltd-valuation-february-2016-slb/" TargetMode="External"/><Relationship Id="rId487" Type="http://schemas.openxmlformats.org/officeDocument/2006/relationships/hyperlink" Target="http://www.moderngraham.com/2015/07/15/tyson-foods-analysis-july-2015-update-tsn/" TargetMode="External"/><Relationship Id="rId291" Type="http://schemas.openxmlformats.org/officeDocument/2006/relationships/hyperlink" Target="http://www.moderngraham.com/2015/09/03/kinder-morgan-inc-analysis-september-2015-update-kmi/" TargetMode="External"/><Relationship Id="rId305" Type="http://schemas.openxmlformats.org/officeDocument/2006/relationships/hyperlink" Target="http://www.moderngraham.com/2015/05/11/eli-lilly-co-annual-valuation-2015-lly/" TargetMode="External"/><Relationship Id="rId347" Type="http://schemas.openxmlformats.org/officeDocument/2006/relationships/hyperlink" Target="http://www.moderngraham.com/2016/02/04/motorola-solutions-inc-valuation-february-2016-update-msi/" TargetMode="External"/><Relationship Id="rId512" Type="http://schemas.openxmlformats.org/officeDocument/2006/relationships/hyperlink" Target="http://www.moderngraham.com/2015/06/09/verisign-inc-analysis-2015-update-vrsn/" TargetMode="External"/><Relationship Id="rId44" Type="http://schemas.openxmlformats.org/officeDocument/2006/relationships/hyperlink" Target="http://www.moderngraham.com/2015/08/12/alexion-pharmaceuticals-inc-analysis-august-2015-update-alxn/" TargetMode="External"/><Relationship Id="rId86" Type="http://schemas.openxmlformats.org/officeDocument/2006/relationships/hyperlink" Target="http://www.moderngraham.com/2016/01/28/franklin-resources-inc-valuation-january-2016-update-ben/" TargetMode="External"/><Relationship Id="rId151" Type="http://schemas.openxmlformats.org/officeDocument/2006/relationships/hyperlink" Target="http://www.moderngraham.com/2016/02/26/e-i-du-pont-de-nemours-valuation-february-2016-dd/" TargetMode="External"/><Relationship Id="rId389" Type="http://schemas.openxmlformats.org/officeDocument/2006/relationships/hyperlink" Target="http://www.moderngraham.com/2015/04/08/pge-corporation-annual-valuation-2015-pcg/" TargetMode="External"/><Relationship Id="rId193" Type="http://schemas.openxmlformats.org/officeDocument/2006/relationships/hyperlink" Target="http://www.moderngraham.com/2015/07/21/ensco-plc-analysis-2015-update-esv/" TargetMode="External"/><Relationship Id="rId207" Type="http://schemas.openxmlformats.org/officeDocument/2006/relationships/hyperlink" Target="http://www.moderngraham.com/2015/04/09/f5-networks-inc-annual-valuation-2015-ffiv/" TargetMode="External"/><Relationship Id="rId249" Type="http://schemas.openxmlformats.org/officeDocument/2006/relationships/hyperlink" Target="http://www.moderngraham.com/2015/11/10/home-depot-inc-valuation-november-2015-update-hd/" TargetMode="External"/><Relationship Id="rId414" Type="http://schemas.openxmlformats.org/officeDocument/2006/relationships/hyperlink" Target="http://www.moderngraham.com/2015/04/03/pvh-corporation-quarterly-valuation-april-2015-pvh/" TargetMode="External"/><Relationship Id="rId456" Type="http://schemas.openxmlformats.org/officeDocument/2006/relationships/hyperlink" Target="http://www.moderngraham.com/2015/10/07/stericycle-inc-analysis-october-2015-update-srcl/" TargetMode="External"/><Relationship Id="rId498" Type="http://schemas.openxmlformats.org/officeDocument/2006/relationships/hyperlink" Target="http://www.moderngraham.com/2015/11/11/unum-group-valuation-november-2015-update-unm/" TargetMode="External"/><Relationship Id="rId13" Type="http://schemas.openxmlformats.org/officeDocument/2006/relationships/hyperlink" Target="http://www.moderngraham.com/2016/02/04/accenture-plc-valuation-february-2016-acn/" TargetMode="External"/><Relationship Id="rId109" Type="http://schemas.openxmlformats.org/officeDocument/2006/relationships/hyperlink" Target="http://www.moderngraham.com/2015/11/12/cbs-corporation-valuation-november-2015-update-cbs/" TargetMode="External"/><Relationship Id="rId260" Type="http://schemas.openxmlformats.org/officeDocument/2006/relationships/hyperlink" Target="http://www.moderngraham.com/2016/02/01/henry-schein-inc-valuation-february-2016-update-hsic/" TargetMode="External"/><Relationship Id="rId316" Type="http://schemas.openxmlformats.org/officeDocument/2006/relationships/hyperlink" Target="http://www.moderngraham.com/2016/01/05/mastercard-inc-valuation-january-2016-update-ma/" TargetMode="External"/><Relationship Id="rId523" Type="http://schemas.openxmlformats.org/officeDocument/2006/relationships/hyperlink" Target="http://www.moderngraham.com/2015/06/23/windstream-holdings-analysis-2015-update-win/" TargetMode="External"/><Relationship Id="rId55" Type="http://schemas.openxmlformats.org/officeDocument/2006/relationships/hyperlink" Target="http://www.moderngraham.com/2015/11/19/abercrombie-fitch-co-valuation-november-2015-update-anf/" TargetMode="External"/><Relationship Id="rId97" Type="http://schemas.openxmlformats.org/officeDocument/2006/relationships/hyperlink" Target="http://www.moderngraham.com/2015/09/10/boston-scientific-inc-analysis-september-2015-update-bsx/" TargetMode="External"/><Relationship Id="rId120" Type="http://schemas.openxmlformats.org/officeDocument/2006/relationships/hyperlink" Target="http://www.moderngraham.com/2016/01/27/colgate-palmolive-co-valuation-january-2016-update-cl/" TargetMode="External"/><Relationship Id="rId358" Type="http://schemas.openxmlformats.org/officeDocument/2006/relationships/hyperlink" Target="http://www.moderngraham.com/2015/08/13/nextera-energy-inc-analysis-august-2015-update-nee/" TargetMode="External"/><Relationship Id="rId162" Type="http://schemas.openxmlformats.org/officeDocument/2006/relationships/hyperlink" Target="http://www.moderngraham.com/2015/10/15/dollar-tree-stores-inc-valuation-october-2015-update-dltr/" TargetMode="External"/><Relationship Id="rId218" Type="http://schemas.openxmlformats.org/officeDocument/2006/relationships/hyperlink" Target="http://www.moderngraham.com/2015/11/11/fmc-technologies-inc-valuation-november-2015-update-fti/" TargetMode="External"/><Relationship Id="rId425" Type="http://schemas.openxmlformats.org/officeDocument/2006/relationships/hyperlink" Target="http://www.moderngraham.com/2015/03/29/rowan-companies-plc-annual-valuation-2015-rdc/" TargetMode="External"/><Relationship Id="rId467" Type="http://schemas.openxmlformats.org/officeDocument/2006/relationships/hyperlink" Target="http://www.moderngraham.com/2016/01/26/stryker-corporation-valuation-january-2016-update-syk/" TargetMode="External"/><Relationship Id="rId271" Type="http://schemas.openxmlformats.org/officeDocument/2006/relationships/hyperlink" Target="http://www.moderngraham.com/2015/04/08/interpublic-group-of-companies-inc-annual-valuation-2015-ipg/" TargetMode="External"/><Relationship Id="rId24" Type="http://schemas.openxmlformats.org/officeDocument/2006/relationships/hyperlink" Target="http://www.moderngraham.com/2015/11/19/american-electric-power-co-valuation-november-2015-update-aep/" TargetMode="External"/><Relationship Id="rId66" Type="http://schemas.openxmlformats.org/officeDocument/2006/relationships/hyperlink" Target="http://www.moderngraham.com/2016/02/15/airgas-inc-stock-valuation-february-2016-arg/" TargetMode="External"/><Relationship Id="rId131" Type="http://schemas.openxmlformats.org/officeDocument/2006/relationships/hyperlink" Target="http://www.moderngraham.com/2016/01/29/capital-one-financial-corp-valuation-january-2016-update-cof/" TargetMode="External"/><Relationship Id="rId327" Type="http://schemas.openxmlformats.org/officeDocument/2006/relationships/hyperlink" Target="http://www.moderngraham.com/2016/01/31/medtronic-plc-valuation-january-2016-update-mdt/" TargetMode="External"/><Relationship Id="rId369" Type="http://schemas.openxmlformats.org/officeDocument/2006/relationships/hyperlink" Target="http://www.moderngraham.com/2015/10/03/natural-resource-partners-lp-analysis-october-2015-update-nrp/" TargetMode="External"/><Relationship Id="rId534" Type="http://schemas.openxmlformats.org/officeDocument/2006/relationships/hyperlink" Target="http://www.moderngraham.com/2015/08/21/wyndham-worldwide-corporation-analysis-august-2015-update-wyn/" TargetMode="External"/><Relationship Id="rId173" Type="http://schemas.openxmlformats.org/officeDocument/2006/relationships/hyperlink" Target="http://www.moderngraham.com/2015/01/26/devon-energy-corporation-annual-valuation-2015-dvn/" TargetMode="External"/><Relationship Id="rId229" Type="http://schemas.openxmlformats.org/officeDocument/2006/relationships/hyperlink" Target="http://www.moderngraham.com/2015/07/31/general-motors-company-analysis-2015-update-gm/" TargetMode="External"/><Relationship Id="rId380" Type="http://schemas.openxmlformats.org/officeDocument/2006/relationships/hyperlink" Target="http://www.moderngraham.com/2015/05/12/olin-corporation-annual-valuation-2015-oln/" TargetMode="External"/><Relationship Id="rId436" Type="http://schemas.openxmlformats.org/officeDocument/2006/relationships/hyperlink" Target="http://www.moderngraham.com/2015/09/04/republic-services-inc-analysis-september-2015-update-rsg/" TargetMode="External"/><Relationship Id="rId240" Type="http://schemas.openxmlformats.org/officeDocument/2006/relationships/hyperlink" Target="http://www.moderngraham.com/2016/01/08/w-w-grainger-inc-valuation-january-2016-update-gww/" TargetMode="External"/><Relationship Id="rId478" Type="http://schemas.openxmlformats.org/officeDocument/2006/relationships/hyperlink" Target="http://www.moderngraham.com/2015/05/18/tenet-healthcare-corporation-annual-valuation-2015-thc/" TargetMode="External"/><Relationship Id="rId35" Type="http://schemas.openxmlformats.org/officeDocument/2006/relationships/hyperlink" Target="http://www.moderngraham.com/2015/08/11/arthur-j-gallagher-company-analysis-initial-coverage-ajg/" TargetMode="External"/><Relationship Id="rId77" Type="http://schemas.openxmlformats.org/officeDocument/2006/relationships/hyperlink" Target="http://www.moderngraham.com/2015/01/04/autozone-inc-annual-valuation-2015-azo/" TargetMode="External"/><Relationship Id="rId100" Type="http://schemas.openxmlformats.org/officeDocument/2006/relationships/hyperlink" Target="http://www.moderngraham.com/2015/11/13/boston-properties-inc-valuation-november-2015-update-bxp/" TargetMode="External"/><Relationship Id="rId282" Type="http://schemas.openxmlformats.org/officeDocument/2006/relationships/hyperlink" Target="http://www.moderngraham.com/2016/02/05/joy-global-inc-valuation-february-2016-joy/" TargetMode="External"/><Relationship Id="rId338" Type="http://schemas.openxmlformats.org/officeDocument/2006/relationships/hyperlink" Target="http://www.moderngraham.com/2016/01/25/monster-beverage-corp-valuation-january-2016-update-mnst/" TargetMode="External"/><Relationship Id="rId503" Type="http://schemas.openxmlformats.org/officeDocument/2006/relationships/hyperlink" Target="http://www.moderngraham.com/2016/02/09/u-s-bancorp-valuation-february-2016-usb/" TargetMode="External"/><Relationship Id="rId545" Type="http://schemas.openxmlformats.org/officeDocument/2006/relationships/hyperlink" Target="http://www.moderngraham.com/2015/03/11/yum-brands-inc-annual-valuation-2015-yum/" TargetMode="External"/><Relationship Id="rId8" Type="http://schemas.openxmlformats.org/officeDocument/2006/relationships/hyperlink" Target="http://www.moderngraham.com/2015/04/02/amerisourcebergen-corporation-annual-valuation-2015-abc/" TargetMode="External"/><Relationship Id="rId142" Type="http://schemas.openxmlformats.org/officeDocument/2006/relationships/hyperlink" Target="http://www.moderngraham.com/2015/12/10/cintas-corp-valuation-december-2015-update-ctas/" TargetMode="External"/><Relationship Id="rId184" Type="http://schemas.openxmlformats.org/officeDocument/2006/relationships/hyperlink" Target="http://www.moderngraham.com/2015/07/15/endo-international-plc-analysis-initial-coverage-endp/" TargetMode="External"/><Relationship Id="rId391" Type="http://schemas.openxmlformats.org/officeDocument/2006/relationships/hyperlink" Target="http://www.moderngraham.com/2016/02/16/patterson-companies-inc-stock-valuation-february-2016-pdco/" TargetMode="External"/><Relationship Id="rId405" Type="http://schemas.openxmlformats.org/officeDocument/2006/relationships/hyperlink" Target="http://www.moderngraham.com/2015/11/25/pentair-plc-valuation-november-2015-update-pnr/" TargetMode="External"/><Relationship Id="rId447" Type="http://schemas.openxmlformats.org/officeDocument/2006/relationships/hyperlink" Target="http://www.moderngraham.com/2015/08/07/slm-corporation-analysis-august-2015-update-slm/" TargetMode="External"/><Relationship Id="rId251" Type="http://schemas.openxmlformats.org/officeDocument/2006/relationships/hyperlink" Target="http://www.moderngraham.com/2015/06/03/hartford-financial-services-analysis-2015-annual-update-hig/" TargetMode="External"/><Relationship Id="rId489" Type="http://schemas.openxmlformats.org/officeDocument/2006/relationships/hyperlink" Target="http://www.moderngraham.com/2015/11/17/total-system-services-inc-valuation-november-2015-update-tss/" TargetMode="External"/><Relationship Id="rId46" Type="http://schemas.openxmlformats.org/officeDocument/2006/relationships/hyperlink" Target="http://www.moderngraham.com/2015/08/15/amc-networks-inc-analysis-initial-coverage-amcx/" TargetMode="External"/><Relationship Id="rId293" Type="http://schemas.openxmlformats.org/officeDocument/2006/relationships/hyperlink" Target="http://www.moderngraham.com/2015/03/05/the-coca-cola-company-annual-valuation-2015-ko/" TargetMode="External"/><Relationship Id="rId307" Type="http://schemas.openxmlformats.org/officeDocument/2006/relationships/hyperlink" Target="http://www.moderngraham.com/2015/02/01/lockheed-martin-corporation-annual-valuation-2015-lmt/" TargetMode="External"/><Relationship Id="rId349" Type="http://schemas.openxmlformats.org/officeDocument/2006/relationships/hyperlink" Target="http://www.moderngraham.com/2016/02/01/mts-systems-corp-valuation-february-2016-update-mtsc/" TargetMode="External"/><Relationship Id="rId514" Type="http://schemas.openxmlformats.org/officeDocument/2006/relationships/hyperlink" Target="http://www.moderngraham.com/2015/07/29/ventas-inc-analysis-2015-update-vtr/" TargetMode="External"/><Relationship Id="rId88" Type="http://schemas.openxmlformats.org/officeDocument/2006/relationships/hyperlink" Target="http://www.moderngraham.com/2015/09/24/bg-foods-inc-analysis-september-2015-update-bgs/" TargetMode="External"/><Relationship Id="rId111" Type="http://schemas.openxmlformats.org/officeDocument/2006/relationships/hyperlink" Target="http://www.moderngraham.com/2015/05/07/crown-castle-international-corporation-annual-valuation-2015-cci/" TargetMode="External"/><Relationship Id="rId153" Type="http://schemas.openxmlformats.org/officeDocument/2006/relationships/hyperlink" Target="http://www.moderngraham.com/2016/02/09/discover-financial-services-valuation-february-2016-dfs/" TargetMode="External"/><Relationship Id="rId195" Type="http://schemas.openxmlformats.org/officeDocument/2006/relationships/hyperlink" Target="http://www.moderngraham.com/2015/05/19/eaton-corporation-annual-valuation-2015-etn/" TargetMode="External"/><Relationship Id="rId209" Type="http://schemas.openxmlformats.org/officeDocument/2006/relationships/hyperlink" Target="http://www.moderngraham.com/2015/06/02/fiserv-inc-analysis-2015-annual-update-fisv/" TargetMode="External"/><Relationship Id="rId360" Type="http://schemas.openxmlformats.org/officeDocument/2006/relationships/hyperlink" Target="http://www.moderngraham.com/2015/11/13/netflix-inc-valuation-november-2015-update-nflx/" TargetMode="External"/><Relationship Id="rId416" Type="http://schemas.openxmlformats.org/officeDocument/2006/relationships/hyperlink" Target="http://www.moderngraham.com/2015/01/05/praxair-inc-annual-valuation-2015-p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sqref="A1:F1"/>
    </sheetView>
  </sheetViews>
  <sheetFormatPr defaultRowHeight="14.4" x14ac:dyDescent="0.55000000000000004"/>
  <cols>
    <col min="1" max="1" width="30.41796875" bestFit="1" customWidth="1"/>
    <col min="2" max="2" width="23.68359375" bestFit="1" customWidth="1"/>
    <col min="3" max="3" width="23.15625" bestFit="1" customWidth="1"/>
    <col min="4" max="4" width="12.578125" bestFit="1" customWidth="1"/>
    <col min="5" max="5" width="11.26171875" bestFit="1" customWidth="1"/>
  </cols>
  <sheetData>
    <row r="1" spans="1:6" ht="61.2" x14ac:dyDescent="2.2000000000000002">
      <c r="A1" s="130" t="s">
        <v>0</v>
      </c>
      <c r="B1" s="130"/>
      <c r="C1" s="130"/>
      <c r="D1" s="130"/>
      <c r="E1" s="130"/>
      <c r="F1" s="130"/>
    </row>
    <row r="2" spans="1:6" ht="30.6" x14ac:dyDescent="1.1000000000000001">
      <c r="A2" s="131" t="s">
        <v>1</v>
      </c>
      <c r="B2" s="131"/>
      <c r="C2" s="131"/>
      <c r="D2" s="131"/>
      <c r="E2" s="131"/>
      <c r="F2" s="131"/>
    </row>
    <row r="3" spans="1:6" x14ac:dyDescent="0.55000000000000004">
      <c r="A3" s="42" t="s">
        <v>2</v>
      </c>
      <c r="B3" s="91">
        <v>42431</v>
      </c>
      <c r="C3" s="42"/>
      <c r="D3" s="42"/>
      <c r="E3" s="42"/>
      <c r="F3" s="42"/>
    </row>
    <row r="4" spans="1:6" ht="14.7" thickBot="1" x14ac:dyDescent="0.6"/>
    <row r="5" spans="1:6" ht="23.1" x14ac:dyDescent="0.85">
      <c r="A5" s="132" t="s">
        <v>3</v>
      </c>
      <c r="B5" s="133"/>
      <c r="C5" s="133"/>
      <c r="D5" s="133"/>
      <c r="E5" s="133"/>
      <c r="F5" s="134"/>
    </row>
    <row r="6" spans="1:6" x14ac:dyDescent="0.55000000000000004">
      <c r="A6" s="9" t="s">
        <v>4</v>
      </c>
      <c r="B6" s="1">
        <f>COUNT('MG Universe'!G2:G9994)</f>
        <v>548</v>
      </c>
      <c r="C6" s="1"/>
      <c r="D6" s="1"/>
      <c r="E6" s="1"/>
      <c r="F6" s="10"/>
    </row>
    <row r="7" spans="1:6" x14ac:dyDescent="0.55000000000000004">
      <c r="A7" s="9" t="s">
        <v>5</v>
      </c>
      <c r="B7" s="11">
        <f>AVERAGEIF('MG Universe'!K2:K9994,"&lt;100",'MG Universe'!K2:K9994)</f>
        <v>22.823457760314341</v>
      </c>
      <c r="C7" s="1"/>
      <c r="D7" s="1"/>
      <c r="E7" s="1"/>
      <c r="F7" s="10"/>
    </row>
    <row r="8" spans="1:6" x14ac:dyDescent="0.55000000000000004">
      <c r="A8" s="9" t="s">
        <v>6</v>
      </c>
      <c r="B8" s="12">
        <f>AVERAGEIF('MG Universe'!J2:J9994,"&lt;200%",'MG Universe'!J2:J9994)</f>
        <v>0.83285846153846155</v>
      </c>
      <c r="C8" s="1"/>
      <c r="D8" s="1"/>
      <c r="E8" s="1"/>
      <c r="F8" s="10"/>
    </row>
    <row r="9" spans="1:6" x14ac:dyDescent="0.55000000000000004">
      <c r="A9" s="9"/>
      <c r="B9" s="12"/>
      <c r="C9" s="1"/>
      <c r="D9" s="1"/>
      <c r="E9" s="1"/>
      <c r="F9" s="10"/>
    </row>
    <row r="10" spans="1:6" x14ac:dyDescent="0.55000000000000004">
      <c r="A10" s="9"/>
      <c r="B10" s="12"/>
      <c r="C10" s="1" t="s">
        <v>7</v>
      </c>
      <c r="D10" s="1" t="s">
        <v>8</v>
      </c>
      <c r="E10" s="1" t="s">
        <v>9</v>
      </c>
      <c r="F10" s="10"/>
    </row>
    <row r="11" spans="1:6" x14ac:dyDescent="0.55000000000000004">
      <c r="A11" s="9" t="s">
        <v>10</v>
      </c>
      <c r="B11" s="1">
        <f>SUM(C11:E11)</f>
        <v>62</v>
      </c>
      <c r="C11" s="1">
        <f>COUNTIF('MG Universe'!$F$2:$F$9994,"DU")</f>
        <v>36</v>
      </c>
      <c r="D11" s="1">
        <f>COUNTIF('MG Universe'!$F$2:$F$9994,"DF")</f>
        <v>15</v>
      </c>
      <c r="E11" s="1">
        <f>COUNTIF('MG Universe'!$F$2:$F$9994,"DO")</f>
        <v>11</v>
      </c>
      <c r="F11" s="10"/>
    </row>
    <row r="12" spans="1:6" x14ac:dyDescent="0.55000000000000004">
      <c r="A12" s="9" t="s">
        <v>11</v>
      </c>
      <c r="B12" s="1">
        <f t="shared" ref="B12:B13" si="0">SUM(C12:E12)</f>
        <v>164</v>
      </c>
      <c r="C12" s="1">
        <f>COUNTIF('MG Universe'!$F$2:$F$9994,"EU")</f>
        <v>64</v>
      </c>
      <c r="D12" s="1">
        <f>COUNTIF('MG Universe'!$F$2:$F$9994,"EF")</f>
        <v>38</v>
      </c>
      <c r="E12" s="1">
        <f>COUNTIF('MG Universe'!$F$2:$F$9994,"EO")</f>
        <v>62</v>
      </c>
      <c r="F12" s="10"/>
    </row>
    <row r="13" spans="1:6" x14ac:dyDescent="0.55000000000000004">
      <c r="A13" s="9" t="s">
        <v>12</v>
      </c>
      <c r="B13" s="1">
        <f t="shared" si="0"/>
        <v>322</v>
      </c>
      <c r="C13" s="1">
        <f>COUNTIF('MG Universe'!$F$2:$F$9994,"SU")</f>
        <v>84</v>
      </c>
      <c r="D13" s="1">
        <f>COUNTIF('MG Universe'!$F$2:$F$9994,"SF")</f>
        <v>49</v>
      </c>
      <c r="E13" s="1">
        <f>COUNTIF('MG Universe'!$F$2:$F$9994,"SO")</f>
        <v>189</v>
      </c>
      <c r="F13" s="10"/>
    </row>
    <row r="14" spans="1:6" ht="14.7" thickBot="1" x14ac:dyDescent="0.6">
      <c r="A14" s="13" t="s">
        <v>13</v>
      </c>
      <c r="B14" s="14">
        <f>SUM(B11:B13)</f>
        <v>548</v>
      </c>
      <c r="C14" s="14">
        <f t="shared" ref="C14:E14" si="1">SUM(C11:C13)</f>
        <v>184</v>
      </c>
      <c r="D14" s="14">
        <f t="shared" si="1"/>
        <v>102</v>
      </c>
      <c r="E14" s="14">
        <f t="shared" si="1"/>
        <v>262</v>
      </c>
      <c r="F14" s="15"/>
    </row>
    <row r="15" spans="1:6" ht="14.7" thickBot="1" x14ac:dyDescent="0.6"/>
    <row r="16" spans="1:6" ht="23.1" x14ac:dyDescent="0.85">
      <c r="A16" s="132" t="s">
        <v>14</v>
      </c>
      <c r="B16" s="133"/>
      <c r="C16" s="133"/>
      <c r="D16" s="133"/>
      <c r="E16" s="133"/>
      <c r="F16" s="134"/>
    </row>
    <row r="17" spans="1:6" x14ac:dyDescent="0.55000000000000004">
      <c r="A17" s="9" t="s">
        <v>15</v>
      </c>
      <c r="B17" s="25">
        <v>17722.43</v>
      </c>
      <c r="C17" s="1"/>
      <c r="D17" s="1"/>
      <c r="E17" s="1"/>
      <c r="F17" s="10"/>
    </row>
    <row r="18" spans="1:6" x14ac:dyDescent="0.55000000000000004">
      <c r="A18" s="9" t="s">
        <v>16</v>
      </c>
      <c r="B18" s="26">
        <f>SUM(DJIA!I2:I31)/'Market Overview'!B17</f>
        <v>0.13922187871527777</v>
      </c>
      <c r="C18" s="1"/>
      <c r="D18" s="1"/>
      <c r="E18" s="1"/>
      <c r="F18" s="10"/>
    </row>
    <row r="19" spans="1:6" x14ac:dyDescent="0.55000000000000004">
      <c r="A19" s="9" t="s">
        <v>17</v>
      </c>
      <c r="B19" s="25">
        <f>SUM(DJIA!H2:H31)/'Market Overview'!B18</f>
        <v>21410.571581899603</v>
      </c>
      <c r="C19" s="1"/>
      <c r="D19" s="1"/>
      <c r="E19" s="1"/>
      <c r="F19" s="10"/>
    </row>
    <row r="20" spans="1:6" x14ac:dyDescent="0.55000000000000004">
      <c r="A20" s="9" t="s">
        <v>18</v>
      </c>
      <c r="B20" s="12">
        <f>B17/B19</f>
        <v>0.82774203071638031</v>
      </c>
      <c r="C20" s="1"/>
      <c r="D20" s="1"/>
      <c r="E20" s="1"/>
      <c r="F20" s="10"/>
    </row>
    <row r="21" spans="1:6" x14ac:dyDescent="0.55000000000000004">
      <c r="A21" s="9" t="s">
        <v>5</v>
      </c>
      <c r="B21" s="11">
        <f>AVERAGEIF(DJIA!K2:K10000,"&lt;100",DJIA!K2:K10000)</f>
        <v>17.950666666666667</v>
      </c>
      <c r="C21" s="1"/>
      <c r="D21" s="1"/>
      <c r="E21" s="1"/>
      <c r="F21" s="10"/>
    </row>
    <row r="22" spans="1:6" x14ac:dyDescent="0.55000000000000004">
      <c r="A22" s="9"/>
      <c r="B22" s="1"/>
      <c r="C22" s="1"/>
      <c r="D22" s="1"/>
      <c r="E22" s="1"/>
      <c r="F22" s="10"/>
    </row>
    <row r="23" spans="1:6" x14ac:dyDescent="0.55000000000000004">
      <c r="A23" s="9"/>
      <c r="B23" s="12"/>
      <c r="C23" s="1" t="s">
        <v>7</v>
      </c>
      <c r="D23" s="1" t="s">
        <v>8</v>
      </c>
      <c r="E23" s="1" t="s">
        <v>9</v>
      </c>
      <c r="F23" s="10"/>
    </row>
    <row r="24" spans="1:6" x14ac:dyDescent="0.55000000000000004">
      <c r="A24" s="9" t="s">
        <v>10</v>
      </c>
      <c r="B24" s="1">
        <f>SUM(C24:E24)</f>
        <v>7</v>
      </c>
      <c r="C24" s="1">
        <f>COUNTIF(DJIA!$F$2:$F$10000,"DU")</f>
        <v>2</v>
      </c>
      <c r="D24" s="1">
        <f>COUNTIF(DJIA!$F$2:$F$10000,"DF")</f>
        <v>4</v>
      </c>
      <c r="E24" s="1">
        <f>COUNTIF(DJIA!$F$2:$F$10000,"DO")</f>
        <v>1</v>
      </c>
      <c r="F24" s="10"/>
    </row>
    <row r="25" spans="1:6" x14ac:dyDescent="0.55000000000000004">
      <c r="A25" s="9" t="s">
        <v>11</v>
      </c>
      <c r="B25" s="1">
        <f t="shared" ref="B25:B26" si="2">SUM(C25:E25)</f>
        <v>11</v>
      </c>
      <c r="C25" s="1">
        <f>COUNTIF(DJIA!$F$2:$F$10000,"EU")</f>
        <v>5</v>
      </c>
      <c r="D25" s="1">
        <f>COUNTIF(DJIA!$F$2:$F$10000,"EF")</f>
        <v>1</v>
      </c>
      <c r="E25" s="1">
        <f>COUNTIF(DJIA!$F$2:$F$10000,"EO")</f>
        <v>5</v>
      </c>
      <c r="F25" s="10"/>
    </row>
    <row r="26" spans="1:6" x14ac:dyDescent="0.55000000000000004">
      <c r="A26" s="9" t="s">
        <v>12</v>
      </c>
      <c r="B26" s="1">
        <f t="shared" si="2"/>
        <v>12</v>
      </c>
      <c r="C26" s="1">
        <f>COUNTIF(DJIA!$F$2:$F$10000,"SU")</f>
        <v>3</v>
      </c>
      <c r="D26" s="1">
        <f>COUNTIF(DJIA!$F$2:$F$10000,"SF")</f>
        <v>3</v>
      </c>
      <c r="E26" s="1">
        <f>COUNTIF(DJIA!$F$2:$F$10000,"SO")</f>
        <v>6</v>
      </c>
      <c r="F26" s="10"/>
    </row>
    <row r="27" spans="1:6" ht="14.7" thickBot="1" x14ac:dyDescent="0.6">
      <c r="A27" s="13" t="s">
        <v>13</v>
      </c>
      <c r="B27" s="14">
        <f>SUM(B24:B26)</f>
        <v>30</v>
      </c>
      <c r="C27" s="14">
        <f t="shared" ref="C27" si="3">SUM(C24:C26)</f>
        <v>10</v>
      </c>
      <c r="D27" s="14">
        <f t="shared" ref="D27" si="4">SUM(D24:D26)</f>
        <v>8</v>
      </c>
      <c r="E27" s="14">
        <f t="shared" ref="E27" si="5">SUM(E24:E26)</f>
        <v>12</v>
      </c>
      <c r="F27" s="15"/>
    </row>
    <row r="28" spans="1:6" ht="14.7" thickBot="1" x14ac:dyDescent="0.6"/>
    <row r="29" spans="1:6" ht="23.1" x14ac:dyDescent="0.85">
      <c r="A29" s="132" t="s">
        <v>19</v>
      </c>
      <c r="B29" s="133"/>
      <c r="C29" s="133"/>
      <c r="D29" s="133"/>
      <c r="E29" s="133"/>
      <c r="F29" s="134"/>
    </row>
    <row r="30" spans="1:6" x14ac:dyDescent="0.55000000000000004">
      <c r="A30" s="9" t="s">
        <v>15</v>
      </c>
      <c r="B30" s="25">
        <v>2080.2600000000002</v>
      </c>
      <c r="C30" s="1"/>
      <c r="D30" s="1"/>
      <c r="E30" s="1"/>
      <c r="F30" s="10"/>
    </row>
    <row r="31" spans="1:6" x14ac:dyDescent="0.55000000000000004">
      <c r="A31" s="9" t="s">
        <v>5</v>
      </c>
      <c r="B31" s="11">
        <f>AVERAGEIF('S&amp;P 500'!K2:K10000,"&lt;100",'S&amp;P 500'!K2:K10000)</f>
        <v>23.462963752665242</v>
      </c>
      <c r="C31" s="1"/>
      <c r="D31" s="1"/>
      <c r="E31" s="1"/>
      <c r="F31" s="10"/>
    </row>
    <row r="32" spans="1:6" x14ac:dyDescent="0.55000000000000004">
      <c r="A32" s="9" t="s">
        <v>6</v>
      </c>
      <c r="B32" s="12">
        <f>AVERAGEIF('S&amp;P 500'!J2:J10000,"&lt;200%",'S&amp;P 500'!J2:J10000)</f>
        <v>0.83706916666666631</v>
      </c>
      <c r="C32" s="1"/>
      <c r="D32" s="1"/>
      <c r="E32" s="1"/>
      <c r="F32" s="10"/>
    </row>
    <row r="33" spans="1:6" x14ac:dyDescent="0.55000000000000004">
      <c r="A33" s="9"/>
      <c r="B33" s="1"/>
      <c r="C33" s="1"/>
      <c r="D33" s="1"/>
      <c r="E33" s="1"/>
      <c r="F33" s="10"/>
    </row>
    <row r="34" spans="1:6" x14ac:dyDescent="0.55000000000000004">
      <c r="A34" s="9"/>
      <c r="B34" s="12"/>
      <c r="C34" s="1" t="s">
        <v>7</v>
      </c>
      <c r="D34" s="1" t="s">
        <v>8</v>
      </c>
      <c r="E34" s="1" t="s">
        <v>9</v>
      </c>
      <c r="F34" s="10"/>
    </row>
    <row r="35" spans="1:6" x14ac:dyDescent="0.55000000000000004">
      <c r="A35" s="9" t="s">
        <v>10</v>
      </c>
      <c r="B35" s="1">
        <f>SUM(C35:E35)</f>
        <v>54</v>
      </c>
      <c r="C35" s="1">
        <f>COUNTIF('S&amp;P 500'!$F$2:$F$10000,"DU")</f>
        <v>33</v>
      </c>
      <c r="D35" s="1">
        <f>COUNTIF('S&amp;P 500'!$F$2:$F$10000,"DF")</f>
        <v>13</v>
      </c>
      <c r="E35" s="1">
        <f>COUNTIF('S&amp;P 500'!$F$2:$F$10000,"DO")</f>
        <v>8</v>
      </c>
      <c r="F35" s="10"/>
    </row>
    <row r="36" spans="1:6" x14ac:dyDescent="0.55000000000000004">
      <c r="A36" s="9" t="s">
        <v>11</v>
      </c>
      <c r="B36" s="1">
        <f t="shared" ref="B36:B37" si="6">SUM(C36:E36)</f>
        <v>150</v>
      </c>
      <c r="C36" s="1">
        <f>COUNTIF('S&amp;P 500'!$F$2:$F$10000,"EU")</f>
        <v>60</v>
      </c>
      <c r="D36" s="1">
        <f>COUNTIF('S&amp;P 500'!$F$2:$F$10000,"EF")</f>
        <v>38</v>
      </c>
      <c r="E36" s="1">
        <f>COUNTIF('S&amp;P 500'!$F$2:$F$10000,"EO")</f>
        <v>52</v>
      </c>
      <c r="F36" s="10"/>
    </row>
    <row r="37" spans="1:6" x14ac:dyDescent="0.55000000000000004">
      <c r="A37" s="9" t="s">
        <v>12</v>
      </c>
      <c r="B37" s="1">
        <f t="shared" si="6"/>
        <v>298</v>
      </c>
      <c r="C37" s="1">
        <f>COUNTIF('S&amp;P 500'!$F$2:$F$10000,"SU")</f>
        <v>76</v>
      </c>
      <c r="D37" s="1">
        <f>COUNTIF('S&amp;P 500'!$F$2:$F$10000,"SF")</f>
        <v>46</v>
      </c>
      <c r="E37" s="1">
        <f>COUNTIF('S&amp;P 500'!$F$2:$F$10000,"SO")</f>
        <v>176</v>
      </c>
      <c r="F37" s="10"/>
    </row>
    <row r="38" spans="1:6" ht="14.7" thickBot="1" x14ac:dyDescent="0.6">
      <c r="A38" s="13" t="s">
        <v>13</v>
      </c>
      <c r="B38" s="14">
        <f>SUM(B35:B37)</f>
        <v>502</v>
      </c>
      <c r="C38" s="14">
        <f t="shared" ref="C38" si="7">SUM(C35:C37)</f>
        <v>169</v>
      </c>
      <c r="D38" s="14">
        <f t="shared" ref="D38" si="8">SUM(D35:D37)</f>
        <v>97</v>
      </c>
      <c r="E38" s="14">
        <f t="shared" ref="E38" si="9">SUM(E35:E37)</f>
        <v>236</v>
      </c>
      <c r="F38" s="15"/>
    </row>
  </sheetData>
  <sheetProtection algorithmName="SHA-512" hashValue="xdvZ7E6TVPTNw4sM+EFM3DOUkWoOFanZZSgKS6CbwAHQOP6Z8dcKYTnvFgmZ8Bt5Gj2P/gIQtECbpv8IpLfd/Q==" saltValue="C2At9bzyQHr204X1FzFbBQ==" spinCount="100000" sheet="1" objects="1" scenarios="1"/>
  <mergeCells count="5">
    <mergeCell ref="A1:F1"/>
    <mergeCell ref="A2:F2"/>
    <mergeCell ref="A5:F5"/>
    <mergeCell ref="A16:F16"/>
    <mergeCell ref="A29:F29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A2" sqref="A2"/>
    </sheetView>
  </sheetViews>
  <sheetFormatPr defaultRowHeight="14.4" x14ac:dyDescent="0.55000000000000004"/>
  <cols>
    <col min="1" max="1" width="13.83984375" bestFit="1" customWidth="1"/>
    <col min="2" max="2" width="33.41796875" customWidth="1"/>
    <col min="3" max="3" width="8.26171875" bestFit="1" customWidth="1"/>
    <col min="4" max="4" width="8.15625" bestFit="1" customWidth="1"/>
    <col min="5" max="5" width="8" bestFit="1" customWidth="1"/>
    <col min="6" max="6" width="14.26171875" bestFit="1" customWidth="1"/>
    <col min="7" max="8" width="9" bestFit="1" customWidth="1"/>
    <col min="9" max="9" width="15.83984375" bestFit="1" customWidth="1"/>
    <col min="10" max="10" width="6" bestFit="1" customWidth="1"/>
    <col min="11" max="11" width="6.15625" bestFit="1" customWidth="1"/>
    <col min="12" max="12" width="5.578125" bestFit="1" customWidth="1"/>
    <col min="13" max="13" width="7.68359375" bestFit="1" customWidth="1"/>
    <col min="14" max="14" width="8.68359375" bestFit="1" customWidth="1"/>
    <col min="15" max="15" width="15.15625" bestFit="1" customWidth="1"/>
    <col min="16" max="16" width="18.68359375" bestFit="1" customWidth="1"/>
    <col min="17" max="17" width="8.41796875" bestFit="1" customWidth="1"/>
  </cols>
  <sheetData>
    <row r="1" spans="1:17" s="31" customFormat="1" ht="33.75" customHeight="1" x14ac:dyDescent="0.55000000000000004">
      <c r="A1" s="32" t="s">
        <v>20</v>
      </c>
      <c r="B1" s="27" t="str">
        <f>'MG Universe'!B1</f>
        <v>Name with Link</v>
      </c>
      <c r="C1" s="27" t="str">
        <f>'MG Universe'!D1</f>
        <v>Investor Type</v>
      </c>
      <c r="D1" s="27" t="str">
        <f>'MG Universe'!E1</f>
        <v>MG Opinion</v>
      </c>
      <c r="E1" s="27" t="str">
        <f>'MG Universe'!F1</f>
        <v>Full MG Rating</v>
      </c>
      <c r="F1" s="28" t="str">
        <f>'MG Universe'!G1</f>
        <v>Latest Valuation Date</v>
      </c>
      <c r="G1" s="29" t="str">
        <f>'MG Universe'!H1</f>
        <v>MG Value</v>
      </c>
      <c r="H1" s="29" t="str">
        <f>'MG Universe'!I1</f>
        <v>Recent Price</v>
      </c>
      <c r="I1" s="30" t="str">
        <f>'MG Universe'!J1</f>
        <v>Price as a percent of Value</v>
      </c>
      <c r="J1" s="27" t="str">
        <f>'MG Universe'!K1</f>
        <v>PEmg Ratio</v>
      </c>
      <c r="K1" s="30" t="str">
        <f>'MG Universe'!L1</f>
        <v>Div. Yield</v>
      </c>
      <c r="L1" s="27" t="str">
        <f>'MG Universe'!M1</f>
        <v>Beta</v>
      </c>
      <c r="M1" s="27" t="str">
        <f>'MG Universe'!N1</f>
        <v>Current Ratio</v>
      </c>
      <c r="N1" s="29" t="str">
        <f>'MG Universe'!O1</f>
        <v>NCAV</v>
      </c>
      <c r="O1" s="30" t="str">
        <f>'MG Universe'!P1</f>
        <v>Market-implied Growth Rate</v>
      </c>
      <c r="P1" s="27" t="str">
        <f>'MG Universe'!Q1</f>
        <v>Consecutive Years of Dividend Growth</v>
      </c>
      <c r="Q1" s="29" t="str">
        <f>'MG Universe'!R1</f>
        <v>Graham Number</v>
      </c>
    </row>
    <row r="2" spans="1:17" x14ac:dyDescent="0.55000000000000004">
      <c r="A2" s="94"/>
      <c r="B2" s="19" t="str">
        <f>IF($A2="","",VLOOKUP($A2,'MG Universe'!$A$2:$R$9994,2))</f>
        <v/>
      </c>
      <c r="C2" s="19" t="str">
        <f>IF($A2="","",VLOOKUP($A2,'MG Universe'!$A$2:$R$9994,3))</f>
        <v/>
      </c>
      <c r="D2" s="19" t="str">
        <f>IF($A2="","",VLOOKUP($A2,'MG Universe'!$A$2:$R$9994,4))</f>
        <v/>
      </c>
      <c r="E2" s="19" t="str">
        <f>IF($A2="","",VLOOKUP($A2,'MG Universe'!$A$2:$R$9994,5))</f>
        <v/>
      </c>
      <c r="F2" s="20" t="str">
        <f>IF($A2="","",VLOOKUP($A2,'MG Universe'!$A$2:$R$9994,6))</f>
        <v/>
      </c>
      <c r="G2" s="22" t="str">
        <f>IF($A2="","",VLOOKUP($A2,'MG Universe'!$A$2:$R$9994,7))</f>
        <v/>
      </c>
      <c r="H2" s="22" t="str">
        <f>IF($A2="","",VLOOKUP($A2,'MG Universe'!$A$2:$R$9994,8))</f>
        <v/>
      </c>
      <c r="I2" s="23" t="str">
        <f>IF($A2="","",VLOOKUP($A2,'MG Universe'!$A$2:$R$9994,9))</f>
        <v/>
      </c>
      <c r="J2" s="19" t="str">
        <f>IF($A2="","",VLOOKUP($A2,'MG Universe'!$A$2:$R$9994,10))</f>
        <v/>
      </c>
      <c r="K2" s="23" t="str">
        <f>IF($A2="","",VLOOKUP($A2,'MG Universe'!$A$2:$R$9994,11))</f>
        <v/>
      </c>
      <c r="L2" s="19" t="str">
        <f>IF($A2="","",VLOOKUP($A2,'MG Universe'!$A$2:$R$9994,12))</f>
        <v/>
      </c>
      <c r="M2" s="19" t="str">
        <f>IF($A2="","",VLOOKUP($A2,'MG Universe'!$A$2:$R$9994,13))</f>
        <v/>
      </c>
      <c r="N2" s="22" t="str">
        <f>IF($A2="","",VLOOKUP($A2,'MG Universe'!$A$2:$R$9994,14))</f>
        <v/>
      </c>
      <c r="O2" s="23" t="str">
        <f>IF($A2="","",VLOOKUP($A2,'MG Universe'!$A$2:$R$9994,15))</f>
        <v/>
      </c>
      <c r="P2" s="19" t="str">
        <f>IF($A2="","",VLOOKUP($A2,'MG Universe'!$A$2:$R$9994,16))</f>
        <v/>
      </c>
      <c r="Q2" s="22" t="str">
        <f>IF($A2="","",VLOOKUP($A2,'MG Universe'!$A$2:$R$9994,17))</f>
        <v/>
      </c>
    </row>
    <row r="3" spans="1:17" x14ac:dyDescent="0.55000000000000004">
      <c r="A3" s="94"/>
      <c r="B3" s="19" t="str">
        <f>IF($A3="","",VLOOKUP($A3,'MG Universe'!$A$2:$R$9994,2))</f>
        <v/>
      </c>
      <c r="C3" s="19" t="str">
        <f>IF($A3="","",VLOOKUP($A3,'MG Universe'!$A$2:$R$9994,3))</f>
        <v/>
      </c>
      <c r="D3" s="19" t="str">
        <f>IF($A3="","",VLOOKUP($A3,'MG Universe'!$A$2:$R$9994,4))</f>
        <v/>
      </c>
      <c r="E3" s="19" t="str">
        <f>IF($A3="","",VLOOKUP($A3,'MG Universe'!$A$2:$R$9994,5))</f>
        <v/>
      </c>
      <c r="F3" s="20" t="str">
        <f>IF($A3="","",VLOOKUP($A3,'MG Universe'!$A$2:$R$9994,6))</f>
        <v/>
      </c>
      <c r="G3" s="22" t="str">
        <f>IF($A3="","",VLOOKUP($A3,'MG Universe'!$A$2:$R$9994,7))</f>
        <v/>
      </c>
      <c r="H3" s="22" t="str">
        <f>IF($A3="","",VLOOKUP($A3,'MG Universe'!$A$2:$R$9994,8))</f>
        <v/>
      </c>
      <c r="I3" s="23" t="str">
        <f>IF($A3="","",VLOOKUP($A3,'MG Universe'!$A$2:$R$9994,9))</f>
        <v/>
      </c>
      <c r="J3" s="19" t="str">
        <f>IF($A3="","",VLOOKUP($A3,'MG Universe'!$A$2:$R$9994,10))</f>
        <v/>
      </c>
      <c r="K3" s="23" t="str">
        <f>IF($A3="","",VLOOKUP($A3,'MG Universe'!$A$2:$R$9994,11))</f>
        <v/>
      </c>
      <c r="L3" s="19" t="str">
        <f>IF($A3="","",VLOOKUP($A3,'MG Universe'!$A$2:$R$9994,12))</f>
        <v/>
      </c>
      <c r="M3" s="19" t="str">
        <f>IF($A3="","",VLOOKUP($A3,'MG Universe'!$A$2:$R$9994,13))</f>
        <v/>
      </c>
      <c r="N3" s="22" t="str">
        <f>IF($A3="","",VLOOKUP($A3,'MG Universe'!$A$2:$R$9994,14))</f>
        <v/>
      </c>
      <c r="O3" s="23" t="str">
        <f>IF($A3="","",VLOOKUP($A3,'MG Universe'!$A$2:$R$9994,15))</f>
        <v/>
      </c>
      <c r="P3" s="19" t="str">
        <f>IF($A3="","",VLOOKUP($A3,'MG Universe'!$A$2:$R$9994,16))</f>
        <v/>
      </c>
      <c r="Q3" s="22" t="str">
        <f>IF($A3="","",VLOOKUP($A3,'MG Universe'!$A$2:$R$9994,17))</f>
        <v/>
      </c>
    </row>
    <row r="4" spans="1:17" x14ac:dyDescent="0.55000000000000004">
      <c r="A4" s="94"/>
      <c r="B4" s="19" t="str">
        <f>IF($A4="","",VLOOKUP($A4,'MG Universe'!$A$2:$R$9994,2))</f>
        <v/>
      </c>
      <c r="C4" s="19" t="str">
        <f>IF($A4="","",VLOOKUP($A4,'MG Universe'!$A$2:$R$9994,3))</f>
        <v/>
      </c>
      <c r="D4" s="19" t="str">
        <f>IF($A4="","",VLOOKUP($A4,'MG Universe'!$A$2:$R$9994,4))</f>
        <v/>
      </c>
      <c r="E4" s="19" t="str">
        <f>IF($A4="","",VLOOKUP($A4,'MG Universe'!$A$2:$R$9994,5))</f>
        <v/>
      </c>
      <c r="F4" s="20" t="str">
        <f>IF($A4="","",VLOOKUP($A4,'MG Universe'!$A$2:$R$9994,6))</f>
        <v/>
      </c>
      <c r="G4" s="22" t="str">
        <f>IF($A4="","",VLOOKUP($A4,'MG Universe'!$A$2:$R$9994,7))</f>
        <v/>
      </c>
      <c r="H4" s="22" t="str">
        <f>IF($A4="","",VLOOKUP($A4,'MG Universe'!$A$2:$R$9994,8))</f>
        <v/>
      </c>
      <c r="I4" s="23" t="str">
        <f>IF($A4="","",VLOOKUP($A4,'MG Universe'!$A$2:$R$9994,9))</f>
        <v/>
      </c>
      <c r="J4" s="19" t="str">
        <f>IF($A4="","",VLOOKUP($A4,'MG Universe'!$A$2:$R$9994,10))</f>
        <v/>
      </c>
      <c r="K4" s="23" t="str">
        <f>IF($A4="","",VLOOKUP($A4,'MG Universe'!$A$2:$R$9994,11))</f>
        <v/>
      </c>
      <c r="L4" s="19" t="str">
        <f>IF($A4="","",VLOOKUP($A4,'MG Universe'!$A$2:$R$9994,12))</f>
        <v/>
      </c>
      <c r="M4" s="19" t="str">
        <f>IF($A4="","",VLOOKUP($A4,'MG Universe'!$A$2:$R$9994,13))</f>
        <v/>
      </c>
      <c r="N4" s="22" t="str">
        <f>IF($A4="","",VLOOKUP($A4,'MG Universe'!$A$2:$R$9994,14))</f>
        <v/>
      </c>
      <c r="O4" s="23" t="str">
        <f>IF($A4="","",VLOOKUP($A4,'MG Universe'!$A$2:$R$9994,15))</f>
        <v/>
      </c>
      <c r="P4" s="19" t="str">
        <f>IF($A4="","",VLOOKUP($A4,'MG Universe'!$A$2:$R$9994,16))</f>
        <v/>
      </c>
      <c r="Q4" s="22" t="str">
        <f>IF($A4="","",VLOOKUP($A4,'MG Universe'!$A$2:$R$9994,17))</f>
        <v/>
      </c>
    </row>
    <row r="5" spans="1:17" x14ac:dyDescent="0.55000000000000004">
      <c r="A5" s="94"/>
      <c r="B5" s="19" t="str">
        <f>IF($A5="","",VLOOKUP($A5,'MG Universe'!$A$2:$R$9994,2))</f>
        <v/>
      </c>
      <c r="C5" s="19" t="str">
        <f>IF($A5="","",VLOOKUP($A5,'MG Universe'!$A$2:$R$9994,3))</f>
        <v/>
      </c>
      <c r="D5" s="19" t="str">
        <f>IF($A5="","",VLOOKUP($A5,'MG Universe'!$A$2:$R$9994,4))</f>
        <v/>
      </c>
      <c r="E5" s="19" t="str">
        <f>IF($A5="","",VLOOKUP($A5,'MG Universe'!$A$2:$R$9994,5))</f>
        <v/>
      </c>
      <c r="F5" s="20" t="str">
        <f>IF($A5="","",VLOOKUP($A5,'MG Universe'!$A$2:$R$9994,6))</f>
        <v/>
      </c>
      <c r="G5" s="22" t="str">
        <f>IF($A5="","",VLOOKUP($A5,'MG Universe'!$A$2:$R$9994,7))</f>
        <v/>
      </c>
      <c r="H5" s="22" t="str">
        <f>IF($A5="","",VLOOKUP($A5,'MG Universe'!$A$2:$R$9994,8))</f>
        <v/>
      </c>
      <c r="I5" s="23" t="str">
        <f>IF($A5="","",VLOOKUP($A5,'MG Universe'!$A$2:$R$9994,9))</f>
        <v/>
      </c>
      <c r="J5" s="19" t="str">
        <f>IF($A5="","",VLOOKUP($A5,'MG Universe'!$A$2:$R$9994,10))</f>
        <v/>
      </c>
      <c r="K5" s="23" t="str">
        <f>IF($A5="","",VLOOKUP($A5,'MG Universe'!$A$2:$R$9994,11))</f>
        <v/>
      </c>
      <c r="L5" s="19" t="str">
        <f>IF($A5="","",VLOOKUP($A5,'MG Universe'!$A$2:$R$9994,12))</f>
        <v/>
      </c>
      <c r="M5" s="19" t="str">
        <f>IF($A5="","",VLOOKUP($A5,'MG Universe'!$A$2:$R$9994,13))</f>
        <v/>
      </c>
      <c r="N5" s="22" t="str">
        <f>IF($A5="","",VLOOKUP($A5,'MG Universe'!$A$2:$R$9994,14))</f>
        <v/>
      </c>
      <c r="O5" s="23" t="str">
        <f>IF($A5="","",VLOOKUP($A5,'MG Universe'!$A$2:$R$9994,15))</f>
        <v/>
      </c>
      <c r="P5" s="19" t="str">
        <f>IF($A5="","",VLOOKUP($A5,'MG Universe'!$A$2:$R$9994,16))</f>
        <v/>
      </c>
      <c r="Q5" s="22" t="str">
        <f>IF($A5="","",VLOOKUP($A5,'MG Universe'!$A$2:$R$9994,17))</f>
        <v/>
      </c>
    </row>
    <row r="6" spans="1:17" x14ac:dyDescent="0.55000000000000004">
      <c r="A6" s="94"/>
      <c r="B6" s="19" t="str">
        <f>IF($A6="","",VLOOKUP($A6,'MG Universe'!$A$2:$R$9994,2))</f>
        <v/>
      </c>
      <c r="C6" s="19" t="str">
        <f>IF($A6="","",VLOOKUP($A6,'MG Universe'!$A$2:$R$9994,3))</f>
        <v/>
      </c>
      <c r="D6" s="19" t="str">
        <f>IF($A6="","",VLOOKUP($A6,'MG Universe'!$A$2:$R$9994,4))</f>
        <v/>
      </c>
      <c r="E6" s="19" t="str">
        <f>IF($A6="","",VLOOKUP($A6,'MG Universe'!$A$2:$R$9994,5))</f>
        <v/>
      </c>
      <c r="F6" s="20" t="str">
        <f>IF($A6="","",VLOOKUP($A6,'MG Universe'!$A$2:$R$9994,6))</f>
        <v/>
      </c>
      <c r="G6" s="22" t="str">
        <f>IF($A6="","",VLOOKUP($A6,'MG Universe'!$A$2:$R$9994,7))</f>
        <v/>
      </c>
      <c r="H6" s="22" t="str">
        <f>IF($A6="","",VLOOKUP($A6,'MG Universe'!$A$2:$R$9994,8))</f>
        <v/>
      </c>
      <c r="I6" s="23" t="str">
        <f>IF($A6="","",VLOOKUP($A6,'MG Universe'!$A$2:$R$9994,9))</f>
        <v/>
      </c>
      <c r="J6" s="19" t="str">
        <f>IF($A6="","",VLOOKUP($A6,'MG Universe'!$A$2:$R$9994,10))</f>
        <v/>
      </c>
      <c r="K6" s="23" t="str">
        <f>IF($A6="","",VLOOKUP($A6,'MG Universe'!$A$2:$R$9994,11))</f>
        <v/>
      </c>
      <c r="L6" s="19" t="str">
        <f>IF($A6="","",VLOOKUP($A6,'MG Universe'!$A$2:$R$9994,12))</f>
        <v/>
      </c>
      <c r="M6" s="19" t="str">
        <f>IF($A6="","",VLOOKUP($A6,'MG Universe'!$A$2:$R$9994,13))</f>
        <v/>
      </c>
      <c r="N6" s="22" t="str">
        <f>IF($A6="","",VLOOKUP($A6,'MG Universe'!$A$2:$R$9994,14))</f>
        <v/>
      </c>
      <c r="O6" s="23" t="str">
        <f>IF($A6="","",VLOOKUP($A6,'MG Universe'!$A$2:$R$9994,15))</f>
        <v/>
      </c>
      <c r="P6" s="19" t="str">
        <f>IF($A6="","",VLOOKUP($A6,'MG Universe'!$A$2:$R$9994,16))</f>
        <v/>
      </c>
      <c r="Q6" s="22" t="str">
        <f>IF($A6="","",VLOOKUP($A6,'MG Universe'!$A$2:$R$9994,17))</f>
        <v/>
      </c>
    </row>
    <row r="7" spans="1:17" x14ac:dyDescent="0.55000000000000004">
      <c r="A7" s="94"/>
      <c r="B7" s="19" t="str">
        <f>IF($A7="","",VLOOKUP($A7,'MG Universe'!$A$2:$R$9994,2))</f>
        <v/>
      </c>
      <c r="C7" s="19" t="str">
        <f>IF($A7="","",VLOOKUP($A7,'MG Universe'!$A$2:$R$9994,3))</f>
        <v/>
      </c>
      <c r="D7" s="19" t="str">
        <f>IF($A7="","",VLOOKUP($A7,'MG Universe'!$A$2:$R$9994,4))</f>
        <v/>
      </c>
      <c r="E7" s="19" t="str">
        <f>IF($A7="","",VLOOKUP($A7,'MG Universe'!$A$2:$R$9994,5))</f>
        <v/>
      </c>
      <c r="F7" s="20" t="str">
        <f>IF($A7="","",VLOOKUP($A7,'MG Universe'!$A$2:$R$9994,6))</f>
        <v/>
      </c>
      <c r="G7" s="22" t="str">
        <f>IF($A7="","",VLOOKUP($A7,'MG Universe'!$A$2:$R$9994,7))</f>
        <v/>
      </c>
      <c r="H7" s="22" t="str">
        <f>IF($A7="","",VLOOKUP($A7,'MG Universe'!$A$2:$R$9994,8))</f>
        <v/>
      </c>
      <c r="I7" s="23" t="str">
        <f>IF($A7="","",VLOOKUP($A7,'MG Universe'!$A$2:$R$9994,9))</f>
        <v/>
      </c>
      <c r="J7" s="19" t="str">
        <f>IF($A7="","",VLOOKUP($A7,'MG Universe'!$A$2:$R$9994,10))</f>
        <v/>
      </c>
      <c r="K7" s="23" t="str">
        <f>IF($A7="","",VLOOKUP($A7,'MG Universe'!$A$2:$R$9994,11))</f>
        <v/>
      </c>
      <c r="L7" s="19" t="str">
        <f>IF($A7="","",VLOOKUP($A7,'MG Universe'!$A$2:$R$9994,12))</f>
        <v/>
      </c>
      <c r="M7" s="19" t="str">
        <f>IF($A7="","",VLOOKUP($A7,'MG Universe'!$A$2:$R$9994,13))</f>
        <v/>
      </c>
      <c r="N7" s="22" t="str">
        <f>IF($A7="","",VLOOKUP($A7,'MG Universe'!$A$2:$R$9994,14))</f>
        <v/>
      </c>
      <c r="O7" s="23" t="str">
        <f>IF($A7="","",VLOOKUP($A7,'MG Universe'!$A$2:$R$9994,15))</f>
        <v/>
      </c>
      <c r="P7" s="19" t="str">
        <f>IF($A7="","",VLOOKUP($A7,'MG Universe'!$A$2:$R$9994,16))</f>
        <v/>
      </c>
      <c r="Q7" s="22" t="str">
        <f>IF($A7="","",VLOOKUP($A7,'MG Universe'!$A$2:$R$9994,17))</f>
        <v/>
      </c>
    </row>
    <row r="8" spans="1:17" x14ac:dyDescent="0.55000000000000004">
      <c r="A8" s="94"/>
      <c r="B8" s="19" t="str">
        <f>IF($A8="","",VLOOKUP($A8,'MG Universe'!$A$2:$R$9994,2))</f>
        <v/>
      </c>
      <c r="C8" s="19" t="str">
        <f>IF($A8="","",VLOOKUP($A8,'MG Universe'!$A$2:$R$9994,3))</f>
        <v/>
      </c>
      <c r="D8" s="19" t="str">
        <f>IF($A8="","",VLOOKUP($A8,'MG Universe'!$A$2:$R$9994,4))</f>
        <v/>
      </c>
      <c r="E8" s="19" t="str">
        <f>IF($A8="","",VLOOKUP($A8,'MG Universe'!$A$2:$R$9994,5))</f>
        <v/>
      </c>
      <c r="F8" s="20" t="str">
        <f>IF($A8="","",VLOOKUP($A8,'MG Universe'!$A$2:$R$9994,6))</f>
        <v/>
      </c>
      <c r="G8" s="22" t="str">
        <f>IF($A8="","",VLOOKUP($A8,'MG Universe'!$A$2:$R$9994,7))</f>
        <v/>
      </c>
      <c r="H8" s="22" t="str">
        <f>IF($A8="","",VLOOKUP($A8,'MG Universe'!$A$2:$R$9994,8))</f>
        <v/>
      </c>
      <c r="I8" s="23" t="str">
        <f>IF($A8="","",VLOOKUP($A8,'MG Universe'!$A$2:$R$9994,9))</f>
        <v/>
      </c>
      <c r="J8" s="19" t="str">
        <f>IF($A8="","",VLOOKUP($A8,'MG Universe'!$A$2:$R$9994,10))</f>
        <v/>
      </c>
      <c r="K8" s="23" t="str">
        <f>IF($A8="","",VLOOKUP($A8,'MG Universe'!$A$2:$R$9994,11))</f>
        <v/>
      </c>
      <c r="L8" s="19" t="str">
        <f>IF($A8="","",VLOOKUP($A8,'MG Universe'!$A$2:$R$9994,12))</f>
        <v/>
      </c>
      <c r="M8" s="19" t="str">
        <f>IF($A8="","",VLOOKUP($A8,'MG Universe'!$A$2:$R$9994,13))</f>
        <v/>
      </c>
      <c r="N8" s="22" t="str">
        <f>IF($A8="","",VLOOKUP($A8,'MG Universe'!$A$2:$R$9994,14))</f>
        <v/>
      </c>
      <c r="O8" s="23" t="str">
        <f>IF($A8="","",VLOOKUP($A8,'MG Universe'!$A$2:$R$9994,15))</f>
        <v/>
      </c>
      <c r="P8" s="19" t="str">
        <f>IF($A8="","",VLOOKUP($A8,'MG Universe'!$A$2:$R$9994,16))</f>
        <v/>
      </c>
      <c r="Q8" s="22" t="str">
        <f>IF($A8="","",VLOOKUP($A8,'MG Universe'!$A$2:$R$9994,17))</f>
        <v/>
      </c>
    </row>
    <row r="9" spans="1:17" x14ac:dyDescent="0.55000000000000004">
      <c r="A9" s="94"/>
      <c r="B9" s="19" t="str">
        <f>IF($A9="","",VLOOKUP($A9,'MG Universe'!$A$2:$R$9994,2))</f>
        <v/>
      </c>
      <c r="C9" s="19" t="str">
        <f>IF($A9="","",VLOOKUP($A9,'MG Universe'!$A$2:$R$9994,3))</f>
        <v/>
      </c>
      <c r="D9" s="19" t="str">
        <f>IF($A9="","",VLOOKUP($A9,'MG Universe'!$A$2:$R$9994,4))</f>
        <v/>
      </c>
      <c r="E9" s="19" t="str">
        <f>IF($A9="","",VLOOKUP($A9,'MG Universe'!$A$2:$R$9994,5))</f>
        <v/>
      </c>
      <c r="F9" s="20" t="str">
        <f>IF($A9="","",VLOOKUP($A9,'MG Universe'!$A$2:$R$9994,6))</f>
        <v/>
      </c>
      <c r="G9" s="22" t="str">
        <f>IF($A9="","",VLOOKUP($A9,'MG Universe'!$A$2:$R$9994,7))</f>
        <v/>
      </c>
      <c r="H9" s="22" t="str">
        <f>IF($A9="","",VLOOKUP($A9,'MG Universe'!$A$2:$R$9994,8))</f>
        <v/>
      </c>
      <c r="I9" s="23" t="str">
        <f>IF($A9="","",VLOOKUP($A9,'MG Universe'!$A$2:$R$9994,9))</f>
        <v/>
      </c>
      <c r="J9" s="19" t="str">
        <f>IF($A9="","",VLOOKUP($A9,'MG Universe'!$A$2:$R$9994,10))</f>
        <v/>
      </c>
      <c r="K9" s="23" t="str">
        <f>IF($A9="","",VLOOKUP($A9,'MG Universe'!$A$2:$R$9994,11))</f>
        <v/>
      </c>
      <c r="L9" s="19" t="str">
        <f>IF($A9="","",VLOOKUP($A9,'MG Universe'!$A$2:$R$9994,12))</f>
        <v/>
      </c>
      <c r="M9" s="19" t="str">
        <f>IF($A9="","",VLOOKUP($A9,'MG Universe'!$A$2:$R$9994,13))</f>
        <v/>
      </c>
      <c r="N9" s="22" t="str">
        <f>IF($A9="","",VLOOKUP($A9,'MG Universe'!$A$2:$R$9994,14))</f>
        <v/>
      </c>
      <c r="O9" s="23" t="str">
        <f>IF($A9="","",VLOOKUP($A9,'MG Universe'!$A$2:$R$9994,15))</f>
        <v/>
      </c>
      <c r="P9" s="19" t="str">
        <f>IF($A9="","",VLOOKUP($A9,'MG Universe'!$A$2:$R$9994,16))</f>
        <v/>
      </c>
      <c r="Q9" s="22" t="str">
        <f>IF($A9="","",VLOOKUP($A9,'MG Universe'!$A$2:$R$9994,17))</f>
        <v/>
      </c>
    </row>
    <row r="10" spans="1:17" x14ac:dyDescent="0.55000000000000004">
      <c r="A10" s="94"/>
      <c r="B10" s="19" t="str">
        <f>IF($A10="","",VLOOKUP($A10,'MG Universe'!$A$2:$R$9994,2))</f>
        <v/>
      </c>
      <c r="C10" s="19" t="str">
        <f>IF($A10="","",VLOOKUP($A10,'MG Universe'!$A$2:$R$9994,3))</f>
        <v/>
      </c>
      <c r="D10" s="19" t="str">
        <f>IF($A10="","",VLOOKUP($A10,'MG Universe'!$A$2:$R$9994,4))</f>
        <v/>
      </c>
      <c r="E10" s="19" t="str">
        <f>IF($A10="","",VLOOKUP($A10,'MG Universe'!$A$2:$R$9994,5))</f>
        <v/>
      </c>
      <c r="F10" s="20" t="str">
        <f>IF($A10="","",VLOOKUP($A10,'MG Universe'!$A$2:$R$9994,6))</f>
        <v/>
      </c>
      <c r="G10" s="22" t="str">
        <f>IF($A10="","",VLOOKUP($A10,'MG Universe'!$A$2:$R$9994,7))</f>
        <v/>
      </c>
      <c r="H10" s="22" t="str">
        <f>IF($A10="","",VLOOKUP($A10,'MG Universe'!$A$2:$R$9994,8))</f>
        <v/>
      </c>
      <c r="I10" s="23" t="str">
        <f>IF($A10="","",VLOOKUP($A10,'MG Universe'!$A$2:$R$9994,9))</f>
        <v/>
      </c>
      <c r="J10" s="19" t="str">
        <f>IF($A10="","",VLOOKUP($A10,'MG Universe'!$A$2:$R$9994,10))</f>
        <v/>
      </c>
      <c r="K10" s="23" t="str">
        <f>IF($A10="","",VLOOKUP($A10,'MG Universe'!$A$2:$R$9994,11))</f>
        <v/>
      </c>
      <c r="L10" s="19" t="str">
        <f>IF($A10="","",VLOOKUP($A10,'MG Universe'!$A$2:$R$9994,12))</f>
        <v/>
      </c>
      <c r="M10" s="19" t="str">
        <f>IF($A10="","",VLOOKUP($A10,'MG Universe'!$A$2:$R$9994,13))</f>
        <v/>
      </c>
      <c r="N10" s="22" t="str">
        <f>IF($A10="","",VLOOKUP($A10,'MG Universe'!$A$2:$R$9994,14))</f>
        <v/>
      </c>
      <c r="O10" s="23" t="str">
        <f>IF($A10="","",VLOOKUP($A10,'MG Universe'!$A$2:$R$9994,15))</f>
        <v/>
      </c>
      <c r="P10" s="19" t="str">
        <f>IF($A10="","",VLOOKUP($A10,'MG Universe'!$A$2:$R$9994,16))</f>
        <v/>
      </c>
      <c r="Q10" s="22" t="str">
        <f>IF($A10="","",VLOOKUP($A10,'MG Universe'!$A$2:$R$9994,17))</f>
        <v/>
      </c>
    </row>
    <row r="11" spans="1:17" x14ac:dyDescent="0.55000000000000004">
      <c r="A11" s="94"/>
      <c r="B11" s="19" t="str">
        <f>IF($A11="","",VLOOKUP($A11,'MG Universe'!$A$2:$R$9994,2))</f>
        <v/>
      </c>
      <c r="C11" s="19" t="str">
        <f>IF($A11="","",VLOOKUP($A11,'MG Universe'!$A$2:$R$9994,3))</f>
        <v/>
      </c>
      <c r="D11" s="19" t="str">
        <f>IF($A11="","",VLOOKUP($A11,'MG Universe'!$A$2:$R$9994,4))</f>
        <v/>
      </c>
      <c r="E11" s="19" t="str">
        <f>IF($A11="","",VLOOKUP($A11,'MG Universe'!$A$2:$R$9994,5))</f>
        <v/>
      </c>
      <c r="F11" s="20" t="str">
        <f>IF($A11="","",VLOOKUP($A11,'MG Universe'!$A$2:$R$9994,6))</f>
        <v/>
      </c>
      <c r="G11" s="22" t="str">
        <f>IF($A11="","",VLOOKUP($A11,'MG Universe'!$A$2:$R$9994,7))</f>
        <v/>
      </c>
      <c r="H11" s="22" t="str">
        <f>IF($A11="","",VLOOKUP($A11,'MG Universe'!$A$2:$R$9994,8))</f>
        <v/>
      </c>
      <c r="I11" s="23" t="str">
        <f>IF($A11="","",VLOOKUP($A11,'MG Universe'!$A$2:$R$9994,9))</f>
        <v/>
      </c>
      <c r="J11" s="19" t="str">
        <f>IF($A11="","",VLOOKUP($A11,'MG Universe'!$A$2:$R$9994,10))</f>
        <v/>
      </c>
      <c r="K11" s="23" t="str">
        <f>IF($A11="","",VLOOKUP($A11,'MG Universe'!$A$2:$R$9994,11))</f>
        <v/>
      </c>
      <c r="L11" s="19" t="str">
        <f>IF($A11="","",VLOOKUP($A11,'MG Universe'!$A$2:$R$9994,12))</f>
        <v/>
      </c>
      <c r="M11" s="19" t="str">
        <f>IF($A11="","",VLOOKUP($A11,'MG Universe'!$A$2:$R$9994,13))</f>
        <v/>
      </c>
      <c r="N11" s="22" t="str">
        <f>IF($A11="","",VLOOKUP($A11,'MG Universe'!$A$2:$R$9994,14))</f>
        <v/>
      </c>
      <c r="O11" s="23" t="str">
        <f>IF($A11="","",VLOOKUP($A11,'MG Universe'!$A$2:$R$9994,15))</f>
        <v/>
      </c>
      <c r="P11" s="19" t="str">
        <f>IF($A11="","",VLOOKUP($A11,'MG Universe'!$A$2:$R$9994,16))</f>
        <v/>
      </c>
      <c r="Q11" s="22" t="str">
        <f>IF($A11="","",VLOOKUP($A11,'MG Universe'!$A$2:$R$9994,17))</f>
        <v/>
      </c>
    </row>
    <row r="12" spans="1:17" x14ac:dyDescent="0.55000000000000004">
      <c r="A12" s="94"/>
      <c r="B12" s="19" t="str">
        <f>IF($A12="","",VLOOKUP($A12,'MG Universe'!$A$2:$R$9994,2))</f>
        <v/>
      </c>
      <c r="C12" s="19" t="str">
        <f>IF($A12="","",VLOOKUP($A12,'MG Universe'!$A$2:$R$9994,3))</f>
        <v/>
      </c>
      <c r="D12" s="19" t="str">
        <f>IF($A12="","",VLOOKUP($A12,'MG Universe'!$A$2:$R$9994,4))</f>
        <v/>
      </c>
      <c r="E12" s="19" t="str">
        <f>IF($A12="","",VLOOKUP($A12,'MG Universe'!$A$2:$R$9994,5))</f>
        <v/>
      </c>
      <c r="F12" s="20" t="str">
        <f>IF($A12="","",VLOOKUP($A12,'MG Universe'!$A$2:$R$9994,6))</f>
        <v/>
      </c>
      <c r="G12" s="22" t="str">
        <f>IF($A12="","",VLOOKUP($A12,'MG Universe'!$A$2:$R$9994,7))</f>
        <v/>
      </c>
      <c r="H12" s="22" t="str">
        <f>IF($A12="","",VLOOKUP($A12,'MG Universe'!$A$2:$R$9994,8))</f>
        <v/>
      </c>
      <c r="I12" s="23" t="str">
        <f>IF($A12="","",VLOOKUP($A12,'MG Universe'!$A$2:$R$9994,9))</f>
        <v/>
      </c>
      <c r="J12" s="19" t="str">
        <f>IF($A12="","",VLOOKUP($A12,'MG Universe'!$A$2:$R$9994,10))</f>
        <v/>
      </c>
      <c r="K12" s="23" t="str">
        <f>IF($A12="","",VLOOKUP($A12,'MG Universe'!$A$2:$R$9994,11))</f>
        <v/>
      </c>
      <c r="L12" s="19" t="str">
        <f>IF($A12="","",VLOOKUP($A12,'MG Universe'!$A$2:$R$9994,12))</f>
        <v/>
      </c>
      <c r="M12" s="19" t="str">
        <f>IF($A12="","",VLOOKUP($A12,'MG Universe'!$A$2:$R$9994,13))</f>
        <v/>
      </c>
      <c r="N12" s="22" t="str">
        <f>IF($A12="","",VLOOKUP($A12,'MG Universe'!$A$2:$R$9994,14))</f>
        <v/>
      </c>
      <c r="O12" s="23" t="str">
        <f>IF($A12="","",VLOOKUP($A12,'MG Universe'!$A$2:$R$9994,15))</f>
        <v/>
      </c>
      <c r="P12" s="19" t="str">
        <f>IF($A12="","",VLOOKUP($A12,'MG Universe'!$A$2:$R$9994,16))</f>
        <v/>
      </c>
      <c r="Q12" s="22" t="str">
        <f>IF($A12="","",VLOOKUP($A12,'MG Universe'!$A$2:$R$9994,17))</f>
        <v/>
      </c>
    </row>
    <row r="13" spans="1:17" x14ac:dyDescent="0.55000000000000004">
      <c r="A13" s="94"/>
      <c r="B13" s="19" t="str">
        <f>IF($A13="","",VLOOKUP($A13,'MG Universe'!$A$2:$R$9994,2))</f>
        <v/>
      </c>
      <c r="C13" s="19" t="str">
        <f>IF($A13="","",VLOOKUP($A13,'MG Universe'!$A$2:$R$9994,3))</f>
        <v/>
      </c>
      <c r="D13" s="19" t="str">
        <f>IF($A13="","",VLOOKUP($A13,'MG Universe'!$A$2:$R$9994,4))</f>
        <v/>
      </c>
      <c r="E13" s="19" t="str">
        <f>IF($A13="","",VLOOKUP($A13,'MG Universe'!$A$2:$R$9994,5))</f>
        <v/>
      </c>
      <c r="F13" s="20" t="str">
        <f>IF($A13="","",VLOOKUP($A13,'MG Universe'!$A$2:$R$9994,6))</f>
        <v/>
      </c>
      <c r="G13" s="22" t="str">
        <f>IF($A13="","",VLOOKUP($A13,'MG Universe'!$A$2:$R$9994,7))</f>
        <v/>
      </c>
      <c r="H13" s="22" t="str">
        <f>IF($A13="","",VLOOKUP($A13,'MG Universe'!$A$2:$R$9994,8))</f>
        <v/>
      </c>
      <c r="I13" s="23" t="str">
        <f>IF($A13="","",VLOOKUP($A13,'MG Universe'!$A$2:$R$9994,9))</f>
        <v/>
      </c>
      <c r="J13" s="19" t="str">
        <f>IF($A13="","",VLOOKUP($A13,'MG Universe'!$A$2:$R$9994,10))</f>
        <v/>
      </c>
      <c r="K13" s="23" t="str">
        <f>IF($A13="","",VLOOKUP($A13,'MG Universe'!$A$2:$R$9994,11))</f>
        <v/>
      </c>
      <c r="L13" s="19" t="str">
        <f>IF($A13="","",VLOOKUP($A13,'MG Universe'!$A$2:$R$9994,12))</f>
        <v/>
      </c>
      <c r="M13" s="19" t="str">
        <f>IF($A13="","",VLOOKUP($A13,'MG Universe'!$A$2:$R$9994,13))</f>
        <v/>
      </c>
      <c r="N13" s="22" t="str">
        <f>IF($A13="","",VLOOKUP($A13,'MG Universe'!$A$2:$R$9994,14))</f>
        <v/>
      </c>
      <c r="O13" s="23" t="str">
        <f>IF($A13="","",VLOOKUP($A13,'MG Universe'!$A$2:$R$9994,15))</f>
        <v/>
      </c>
      <c r="P13" s="19" t="str">
        <f>IF($A13="","",VLOOKUP($A13,'MG Universe'!$A$2:$R$9994,16))</f>
        <v/>
      </c>
      <c r="Q13" s="22" t="str">
        <f>IF($A13="","",VLOOKUP($A13,'MG Universe'!$A$2:$R$9994,17))</f>
        <v/>
      </c>
    </row>
    <row r="14" spans="1:17" x14ac:dyDescent="0.55000000000000004">
      <c r="A14" s="94"/>
      <c r="B14" s="19" t="str">
        <f>IF($A14="","",VLOOKUP($A14,'MG Universe'!$A$2:$R$9994,2))</f>
        <v/>
      </c>
      <c r="C14" s="19" t="str">
        <f>IF($A14="","",VLOOKUP($A14,'MG Universe'!$A$2:$R$9994,3))</f>
        <v/>
      </c>
      <c r="D14" s="19" t="str">
        <f>IF($A14="","",VLOOKUP($A14,'MG Universe'!$A$2:$R$9994,4))</f>
        <v/>
      </c>
      <c r="E14" s="19" t="str">
        <f>IF($A14="","",VLOOKUP($A14,'MG Universe'!$A$2:$R$9994,5))</f>
        <v/>
      </c>
      <c r="F14" s="20" t="str">
        <f>IF($A14="","",VLOOKUP($A14,'MG Universe'!$A$2:$R$9994,6))</f>
        <v/>
      </c>
      <c r="G14" s="22" t="str">
        <f>IF($A14="","",VLOOKUP($A14,'MG Universe'!$A$2:$R$9994,7))</f>
        <v/>
      </c>
      <c r="H14" s="22" t="str">
        <f>IF($A14="","",VLOOKUP($A14,'MG Universe'!$A$2:$R$9994,8))</f>
        <v/>
      </c>
      <c r="I14" s="23" t="str">
        <f>IF($A14="","",VLOOKUP($A14,'MG Universe'!$A$2:$R$9994,9))</f>
        <v/>
      </c>
      <c r="J14" s="19" t="str">
        <f>IF($A14="","",VLOOKUP($A14,'MG Universe'!$A$2:$R$9994,10))</f>
        <v/>
      </c>
      <c r="K14" s="23" t="str">
        <f>IF($A14="","",VLOOKUP($A14,'MG Universe'!$A$2:$R$9994,11))</f>
        <v/>
      </c>
      <c r="L14" s="19" t="str">
        <f>IF($A14="","",VLOOKUP($A14,'MG Universe'!$A$2:$R$9994,12))</f>
        <v/>
      </c>
      <c r="M14" s="19" t="str">
        <f>IF($A14="","",VLOOKUP($A14,'MG Universe'!$A$2:$R$9994,13))</f>
        <v/>
      </c>
      <c r="N14" s="22" t="str">
        <f>IF($A14="","",VLOOKUP($A14,'MG Universe'!$A$2:$R$9994,14))</f>
        <v/>
      </c>
      <c r="O14" s="23" t="str">
        <f>IF($A14="","",VLOOKUP($A14,'MG Universe'!$A$2:$R$9994,15))</f>
        <v/>
      </c>
      <c r="P14" s="19" t="str">
        <f>IF($A14="","",VLOOKUP($A14,'MG Universe'!$A$2:$R$9994,16))</f>
        <v/>
      </c>
      <c r="Q14" s="22" t="str">
        <f>IF($A14="","",VLOOKUP($A14,'MG Universe'!$A$2:$R$9994,17))</f>
        <v/>
      </c>
    </row>
    <row r="15" spans="1:17" x14ac:dyDescent="0.55000000000000004">
      <c r="A15" s="94"/>
      <c r="B15" s="19" t="str">
        <f>IF($A15="","",VLOOKUP($A15,'MG Universe'!$A$2:$R$9994,2))</f>
        <v/>
      </c>
      <c r="C15" s="19" t="str">
        <f>IF($A15="","",VLOOKUP($A15,'MG Universe'!$A$2:$R$9994,3))</f>
        <v/>
      </c>
      <c r="D15" s="19" t="str">
        <f>IF($A15="","",VLOOKUP($A15,'MG Universe'!$A$2:$R$9994,4))</f>
        <v/>
      </c>
      <c r="E15" s="19" t="str">
        <f>IF($A15="","",VLOOKUP($A15,'MG Universe'!$A$2:$R$9994,5))</f>
        <v/>
      </c>
      <c r="F15" s="20" t="str">
        <f>IF($A15="","",VLOOKUP($A15,'MG Universe'!$A$2:$R$9994,6))</f>
        <v/>
      </c>
      <c r="G15" s="22" t="str">
        <f>IF($A15="","",VLOOKUP($A15,'MG Universe'!$A$2:$R$9994,7))</f>
        <v/>
      </c>
      <c r="H15" s="22" t="str">
        <f>IF($A15="","",VLOOKUP($A15,'MG Universe'!$A$2:$R$9994,8))</f>
        <v/>
      </c>
      <c r="I15" s="23" t="str">
        <f>IF($A15="","",VLOOKUP($A15,'MG Universe'!$A$2:$R$9994,9))</f>
        <v/>
      </c>
      <c r="J15" s="19" t="str">
        <f>IF($A15="","",VLOOKUP($A15,'MG Universe'!$A$2:$R$9994,10))</f>
        <v/>
      </c>
      <c r="K15" s="23" t="str">
        <f>IF($A15="","",VLOOKUP($A15,'MG Universe'!$A$2:$R$9994,11))</f>
        <v/>
      </c>
      <c r="L15" s="19" t="str">
        <f>IF($A15="","",VLOOKUP($A15,'MG Universe'!$A$2:$R$9994,12))</f>
        <v/>
      </c>
      <c r="M15" s="19" t="str">
        <f>IF($A15="","",VLOOKUP($A15,'MG Universe'!$A$2:$R$9994,13))</f>
        <v/>
      </c>
      <c r="N15" s="22" t="str">
        <f>IF($A15="","",VLOOKUP($A15,'MG Universe'!$A$2:$R$9994,14))</f>
        <v/>
      </c>
      <c r="O15" s="23" t="str">
        <f>IF($A15="","",VLOOKUP($A15,'MG Universe'!$A$2:$R$9994,15))</f>
        <v/>
      </c>
      <c r="P15" s="19" t="str">
        <f>IF($A15="","",VLOOKUP($A15,'MG Universe'!$A$2:$R$9994,16))</f>
        <v/>
      </c>
      <c r="Q15" s="22" t="str">
        <f>IF($A15="","",VLOOKUP($A15,'MG Universe'!$A$2:$R$9994,17))</f>
        <v/>
      </c>
    </row>
    <row r="16" spans="1:17" x14ac:dyDescent="0.55000000000000004">
      <c r="A16" s="94"/>
      <c r="B16" s="19" t="str">
        <f>IF($A16="","",VLOOKUP($A16,'MG Universe'!$A$2:$R$9994,2))</f>
        <v/>
      </c>
      <c r="C16" s="19" t="str">
        <f>IF($A16="","",VLOOKUP($A16,'MG Universe'!$A$2:$R$9994,3))</f>
        <v/>
      </c>
      <c r="D16" s="19" t="str">
        <f>IF($A16="","",VLOOKUP($A16,'MG Universe'!$A$2:$R$9994,4))</f>
        <v/>
      </c>
      <c r="E16" s="19" t="str">
        <f>IF($A16="","",VLOOKUP($A16,'MG Universe'!$A$2:$R$9994,5))</f>
        <v/>
      </c>
      <c r="F16" s="20" t="str">
        <f>IF($A16="","",VLOOKUP($A16,'MG Universe'!$A$2:$R$9994,6))</f>
        <v/>
      </c>
      <c r="G16" s="22" t="str">
        <f>IF($A16="","",VLOOKUP($A16,'MG Universe'!$A$2:$R$9994,7))</f>
        <v/>
      </c>
      <c r="H16" s="22" t="str">
        <f>IF($A16="","",VLOOKUP($A16,'MG Universe'!$A$2:$R$9994,8))</f>
        <v/>
      </c>
      <c r="I16" s="23" t="str">
        <f>IF($A16="","",VLOOKUP($A16,'MG Universe'!$A$2:$R$9994,9))</f>
        <v/>
      </c>
      <c r="J16" s="19" t="str">
        <f>IF($A16="","",VLOOKUP($A16,'MG Universe'!$A$2:$R$9994,10))</f>
        <v/>
      </c>
      <c r="K16" s="23" t="str">
        <f>IF($A16="","",VLOOKUP($A16,'MG Universe'!$A$2:$R$9994,11))</f>
        <v/>
      </c>
      <c r="L16" s="19" t="str">
        <f>IF($A16="","",VLOOKUP($A16,'MG Universe'!$A$2:$R$9994,12))</f>
        <v/>
      </c>
      <c r="M16" s="19" t="str">
        <f>IF($A16="","",VLOOKUP($A16,'MG Universe'!$A$2:$R$9994,13))</f>
        <v/>
      </c>
      <c r="N16" s="22" t="str">
        <f>IF($A16="","",VLOOKUP($A16,'MG Universe'!$A$2:$R$9994,14))</f>
        <v/>
      </c>
      <c r="O16" s="23" t="str">
        <f>IF($A16="","",VLOOKUP($A16,'MG Universe'!$A$2:$R$9994,15))</f>
        <v/>
      </c>
      <c r="P16" s="19" t="str">
        <f>IF($A16="","",VLOOKUP($A16,'MG Universe'!$A$2:$R$9994,16))</f>
        <v/>
      </c>
      <c r="Q16" s="22" t="str">
        <f>IF($A16="","",VLOOKUP($A16,'MG Universe'!$A$2:$R$9994,17))</f>
        <v/>
      </c>
    </row>
    <row r="17" spans="1:17" x14ac:dyDescent="0.55000000000000004">
      <c r="A17" s="94"/>
      <c r="B17" s="19" t="str">
        <f>IF($A17="","",VLOOKUP($A17,'MG Universe'!$A$2:$R$9994,2))</f>
        <v/>
      </c>
      <c r="C17" s="19" t="str">
        <f>IF($A17="","",VLOOKUP($A17,'MG Universe'!$A$2:$R$9994,3))</f>
        <v/>
      </c>
      <c r="D17" s="19" t="str">
        <f>IF($A17="","",VLOOKUP($A17,'MG Universe'!$A$2:$R$9994,4))</f>
        <v/>
      </c>
      <c r="E17" s="19" t="str">
        <f>IF($A17="","",VLOOKUP($A17,'MG Universe'!$A$2:$R$9994,5))</f>
        <v/>
      </c>
      <c r="F17" s="20" t="str">
        <f>IF($A17="","",VLOOKUP($A17,'MG Universe'!$A$2:$R$9994,6))</f>
        <v/>
      </c>
      <c r="G17" s="22" t="str">
        <f>IF($A17="","",VLOOKUP($A17,'MG Universe'!$A$2:$R$9994,7))</f>
        <v/>
      </c>
      <c r="H17" s="22" t="str">
        <f>IF($A17="","",VLOOKUP($A17,'MG Universe'!$A$2:$R$9994,8))</f>
        <v/>
      </c>
      <c r="I17" s="23" t="str">
        <f>IF($A17="","",VLOOKUP($A17,'MG Universe'!$A$2:$R$9994,9))</f>
        <v/>
      </c>
      <c r="J17" s="19" t="str">
        <f>IF($A17="","",VLOOKUP($A17,'MG Universe'!$A$2:$R$9994,10))</f>
        <v/>
      </c>
      <c r="K17" s="23" t="str">
        <f>IF($A17="","",VLOOKUP($A17,'MG Universe'!$A$2:$R$9994,11))</f>
        <v/>
      </c>
      <c r="L17" s="19" t="str">
        <f>IF($A17="","",VLOOKUP($A17,'MG Universe'!$A$2:$R$9994,12))</f>
        <v/>
      </c>
      <c r="M17" s="19" t="str">
        <f>IF($A17="","",VLOOKUP($A17,'MG Universe'!$A$2:$R$9994,13))</f>
        <v/>
      </c>
      <c r="N17" s="22" t="str">
        <f>IF($A17="","",VLOOKUP($A17,'MG Universe'!$A$2:$R$9994,14))</f>
        <v/>
      </c>
      <c r="O17" s="23" t="str">
        <f>IF($A17="","",VLOOKUP($A17,'MG Universe'!$A$2:$R$9994,15))</f>
        <v/>
      </c>
      <c r="P17" s="19" t="str">
        <f>IF($A17="","",VLOOKUP($A17,'MG Universe'!$A$2:$R$9994,16))</f>
        <v/>
      </c>
      <c r="Q17" s="22" t="str">
        <f>IF($A17="","",VLOOKUP($A17,'MG Universe'!$A$2:$R$9994,17))</f>
        <v/>
      </c>
    </row>
    <row r="18" spans="1:17" x14ac:dyDescent="0.55000000000000004">
      <c r="A18" s="94"/>
      <c r="B18" s="19" t="str">
        <f>IF($A18="","",VLOOKUP($A18,'MG Universe'!$A$2:$R$9994,2))</f>
        <v/>
      </c>
      <c r="C18" s="19" t="str">
        <f>IF($A18="","",VLOOKUP($A18,'MG Universe'!$A$2:$R$9994,3))</f>
        <v/>
      </c>
      <c r="D18" s="19" t="str">
        <f>IF($A18="","",VLOOKUP($A18,'MG Universe'!$A$2:$R$9994,4))</f>
        <v/>
      </c>
      <c r="E18" s="19" t="str">
        <f>IF($A18="","",VLOOKUP($A18,'MG Universe'!$A$2:$R$9994,5))</f>
        <v/>
      </c>
      <c r="F18" s="20" t="str">
        <f>IF($A18="","",VLOOKUP($A18,'MG Universe'!$A$2:$R$9994,6))</f>
        <v/>
      </c>
      <c r="G18" s="22" t="str">
        <f>IF($A18="","",VLOOKUP($A18,'MG Universe'!$A$2:$R$9994,7))</f>
        <v/>
      </c>
      <c r="H18" s="22" t="str">
        <f>IF($A18="","",VLOOKUP($A18,'MG Universe'!$A$2:$R$9994,8))</f>
        <v/>
      </c>
      <c r="I18" s="23" t="str">
        <f>IF($A18="","",VLOOKUP($A18,'MG Universe'!$A$2:$R$9994,9))</f>
        <v/>
      </c>
      <c r="J18" s="19" t="str">
        <f>IF($A18="","",VLOOKUP($A18,'MG Universe'!$A$2:$R$9994,10))</f>
        <v/>
      </c>
      <c r="K18" s="23" t="str">
        <f>IF($A18="","",VLOOKUP($A18,'MG Universe'!$A$2:$R$9994,11))</f>
        <v/>
      </c>
      <c r="L18" s="19" t="str">
        <f>IF($A18="","",VLOOKUP($A18,'MG Universe'!$A$2:$R$9994,12))</f>
        <v/>
      </c>
      <c r="M18" s="19" t="str">
        <f>IF($A18="","",VLOOKUP($A18,'MG Universe'!$A$2:$R$9994,13))</f>
        <v/>
      </c>
      <c r="N18" s="22" t="str">
        <f>IF($A18="","",VLOOKUP($A18,'MG Universe'!$A$2:$R$9994,14))</f>
        <v/>
      </c>
      <c r="O18" s="23" t="str">
        <f>IF($A18="","",VLOOKUP($A18,'MG Universe'!$A$2:$R$9994,15))</f>
        <v/>
      </c>
      <c r="P18" s="19" t="str">
        <f>IF($A18="","",VLOOKUP($A18,'MG Universe'!$A$2:$R$9994,16))</f>
        <v/>
      </c>
      <c r="Q18" s="22" t="str">
        <f>IF($A18="","",VLOOKUP($A18,'MG Universe'!$A$2:$R$9994,17))</f>
        <v/>
      </c>
    </row>
    <row r="19" spans="1:17" x14ac:dyDescent="0.55000000000000004">
      <c r="A19" s="94"/>
      <c r="B19" s="19" t="str">
        <f>IF($A19="","",VLOOKUP($A19,'MG Universe'!$A$2:$R$9994,2))</f>
        <v/>
      </c>
      <c r="C19" s="19" t="str">
        <f>IF($A19="","",VLOOKUP($A19,'MG Universe'!$A$2:$R$9994,3))</f>
        <v/>
      </c>
      <c r="D19" s="19" t="str">
        <f>IF($A19="","",VLOOKUP($A19,'MG Universe'!$A$2:$R$9994,4))</f>
        <v/>
      </c>
      <c r="E19" s="19" t="str">
        <f>IF($A19="","",VLOOKUP($A19,'MG Universe'!$A$2:$R$9994,5))</f>
        <v/>
      </c>
      <c r="F19" s="20" t="str">
        <f>IF($A19="","",VLOOKUP($A19,'MG Universe'!$A$2:$R$9994,6))</f>
        <v/>
      </c>
      <c r="G19" s="22" t="str">
        <f>IF($A19="","",VLOOKUP($A19,'MG Universe'!$A$2:$R$9994,7))</f>
        <v/>
      </c>
      <c r="H19" s="22" t="str">
        <f>IF($A19="","",VLOOKUP($A19,'MG Universe'!$A$2:$R$9994,8))</f>
        <v/>
      </c>
      <c r="I19" s="23" t="str">
        <f>IF($A19="","",VLOOKUP($A19,'MG Universe'!$A$2:$R$9994,9))</f>
        <v/>
      </c>
      <c r="J19" s="19" t="str">
        <f>IF($A19="","",VLOOKUP($A19,'MG Universe'!$A$2:$R$9994,10))</f>
        <v/>
      </c>
      <c r="K19" s="23" t="str">
        <f>IF($A19="","",VLOOKUP($A19,'MG Universe'!$A$2:$R$9994,11))</f>
        <v/>
      </c>
      <c r="L19" s="19" t="str">
        <f>IF($A19="","",VLOOKUP($A19,'MG Universe'!$A$2:$R$9994,12))</f>
        <v/>
      </c>
      <c r="M19" s="19" t="str">
        <f>IF($A19="","",VLOOKUP($A19,'MG Universe'!$A$2:$R$9994,13))</f>
        <v/>
      </c>
      <c r="N19" s="22" t="str">
        <f>IF($A19="","",VLOOKUP($A19,'MG Universe'!$A$2:$R$9994,14))</f>
        <v/>
      </c>
      <c r="O19" s="23" t="str">
        <f>IF($A19="","",VLOOKUP($A19,'MG Universe'!$A$2:$R$9994,15))</f>
        <v/>
      </c>
      <c r="P19" s="19" t="str">
        <f>IF($A19="","",VLOOKUP($A19,'MG Universe'!$A$2:$R$9994,16))</f>
        <v/>
      </c>
      <c r="Q19" s="22" t="str">
        <f>IF($A19="","",VLOOKUP($A19,'MG Universe'!$A$2:$R$9994,17))</f>
        <v/>
      </c>
    </row>
    <row r="20" spans="1:17" x14ac:dyDescent="0.55000000000000004">
      <c r="A20" s="94"/>
      <c r="B20" s="19" t="str">
        <f>IF($A20="","",VLOOKUP($A20,'MG Universe'!$A$2:$R$9994,2))</f>
        <v/>
      </c>
      <c r="C20" s="19" t="str">
        <f>IF($A20="","",VLOOKUP($A20,'MG Universe'!$A$2:$R$9994,3))</f>
        <v/>
      </c>
      <c r="D20" s="19" t="str">
        <f>IF($A20="","",VLOOKUP($A20,'MG Universe'!$A$2:$R$9994,4))</f>
        <v/>
      </c>
      <c r="E20" s="19" t="str">
        <f>IF($A20="","",VLOOKUP($A20,'MG Universe'!$A$2:$R$9994,5))</f>
        <v/>
      </c>
      <c r="F20" s="20" t="str">
        <f>IF($A20="","",VLOOKUP($A20,'MG Universe'!$A$2:$R$9994,6))</f>
        <v/>
      </c>
      <c r="G20" s="22" t="str">
        <f>IF($A20="","",VLOOKUP($A20,'MG Universe'!$A$2:$R$9994,7))</f>
        <v/>
      </c>
      <c r="H20" s="22" t="str">
        <f>IF($A20="","",VLOOKUP($A20,'MG Universe'!$A$2:$R$9994,8))</f>
        <v/>
      </c>
      <c r="I20" s="23" t="str">
        <f>IF($A20="","",VLOOKUP($A20,'MG Universe'!$A$2:$R$9994,9))</f>
        <v/>
      </c>
      <c r="J20" s="19" t="str">
        <f>IF($A20="","",VLOOKUP($A20,'MG Universe'!$A$2:$R$9994,10))</f>
        <v/>
      </c>
      <c r="K20" s="23" t="str">
        <f>IF($A20="","",VLOOKUP($A20,'MG Universe'!$A$2:$R$9994,11))</f>
        <v/>
      </c>
      <c r="L20" s="19" t="str">
        <f>IF($A20="","",VLOOKUP($A20,'MG Universe'!$A$2:$R$9994,12))</f>
        <v/>
      </c>
      <c r="M20" s="19" t="str">
        <f>IF($A20="","",VLOOKUP($A20,'MG Universe'!$A$2:$R$9994,13))</f>
        <v/>
      </c>
      <c r="N20" s="22" t="str">
        <f>IF($A20="","",VLOOKUP($A20,'MG Universe'!$A$2:$R$9994,14))</f>
        <v/>
      </c>
      <c r="O20" s="23" t="str">
        <f>IF($A20="","",VLOOKUP($A20,'MG Universe'!$A$2:$R$9994,15))</f>
        <v/>
      </c>
      <c r="P20" s="19" t="str">
        <f>IF($A20="","",VLOOKUP($A20,'MG Universe'!$A$2:$R$9994,16))</f>
        <v/>
      </c>
      <c r="Q20" s="22" t="str">
        <f>IF($A20="","",VLOOKUP($A20,'MG Universe'!$A$2:$R$9994,17))</f>
        <v/>
      </c>
    </row>
    <row r="21" spans="1:17" x14ac:dyDescent="0.55000000000000004">
      <c r="A21" s="94"/>
      <c r="B21" s="19" t="str">
        <f>IF($A21="","",VLOOKUP($A21,'MG Universe'!$A$2:$R$9994,2))</f>
        <v/>
      </c>
      <c r="C21" s="19" t="str">
        <f>IF($A21="","",VLOOKUP($A21,'MG Universe'!$A$2:$R$9994,3))</f>
        <v/>
      </c>
      <c r="D21" s="19" t="str">
        <f>IF($A21="","",VLOOKUP($A21,'MG Universe'!$A$2:$R$9994,4))</f>
        <v/>
      </c>
      <c r="E21" s="19" t="str">
        <f>IF($A21="","",VLOOKUP($A21,'MG Universe'!$A$2:$R$9994,5))</f>
        <v/>
      </c>
      <c r="F21" s="20" t="str">
        <f>IF($A21="","",VLOOKUP($A21,'MG Universe'!$A$2:$R$9994,6))</f>
        <v/>
      </c>
      <c r="G21" s="22" t="str">
        <f>IF($A21="","",VLOOKUP($A21,'MG Universe'!$A$2:$R$9994,7))</f>
        <v/>
      </c>
      <c r="H21" s="22" t="str">
        <f>IF($A21="","",VLOOKUP($A21,'MG Universe'!$A$2:$R$9994,8))</f>
        <v/>
      </c>
      <c r="I21" s="23" t="str">
        <f>IF($A21="","",VLOOKUP($A21,'MG Universe'!$A$2:$R$9994,9))</f>
        <v/>
      </c>
      <c r="J21" s="19" t="str">
        <f>IF($A21="","",VLOOKUP($A21,'MG Universe'!$A$2:$R$9994,10))</f>
        <v/>
      </c>
      <c r="K21" s="23" t="str">
        <f>IF($A21="","",VLOOKUP($A21,'MG Universe'!$A$2:$R$9994,11))</f>
        <v/>
      </c>
      <c r="L21" s="19" t="str">
        <f>IF($A21="","",VLOOKUP($A21,'MG Universe'!$A$2:$R$9994,12))</f>
        <v/>
      </c>
      <c r="M21" s="19" t="str">
        <f>IF($A21="","",VLOOKUP($A21,'MG Universe'!$A$2:$R$9994,13))</f>
        <v/>
      </c>
      <c r="N21" s="22" t="str">
        <f>IF($A21="","",VLOOKUP($A21,'MG Universe'!$A$2:$R$9994,14))</f>
        <v/>
      </c>
      <c r="O21" s="23" t="str">
        <f>IF($A21="","",VLOOKUP($A21,'MG Universe'!$A$2:$R$9994,15))</f>
        <v/>
      </c>
      <c r="P21" s="19" t="str">
        <f>IF($A21="","",VLOOKUP($A21,'MG Universe'!$A$2:$R$9994,16))</f>
        <v/>
      </c>
      <c r="Q21" s="22" t="str">
        <f>IF($A21="","",VLOOKUP($A21,'MG Universe'!$A$2:$R$9994,17))</f>
        <v/>
      </c>
    </row>
    <row r="22" spans="1:17" x14ac:dyDescent="0.55000000000000004">
      <c r="A22" s="94"/>
      <c r="B22" s="19" t="str">
        <f>IF($A22="","",VLOOKUP($A22,'MG Universe'!$A$2:$R$9994,2))</f>
        <v/>
      </c>
      <c r="C22" s="19" t="str">
        <f>IF($A22="","",VLOOKUP($A22,'MG Universe'!$A$2:$R$9994,3))</f>
        <v/>
      </c>
      <c r="D22" s="19" t="str">
        <f>IF($A22="","",VLOOKUP($A22,'MG Universe'!$A$2:$R$9994,4))</f>
        <v/>
      </c>
      <c r="E22" s="19" t="str">
        <f>IF($A22="","",VLOOKUP($A22,'MG Universe'!$A$2:$R$9994,5))</f>
        <v/>
      </c>
      <c r="F22" s="20" t="str">
        <f>IF($A22="","",VLOOKUP($A22,'MG Universe'!$A$2:$R$9994,6))</f>
        <v/>
      </c>
      <c r="G22" s="22" t="str">
        <f>IF($A22="","",VLOOKUP($A22,'MG Universe'!$A$2:$R$9994,7))</f>
        <v/>
      </c>
      <c r="H22" s="22" t="str">
        <f>IF($A22="","",VLOOKUP($A22,'MG Universe'!$A$2:$R$9994,8))</f>
        <v/>
      </c>
      <c r="I22" s="23" t="str">
        <f>IF($A22="","",VLOOKUP($A22,'MG Universe'!$A$2:$R$9994,9))</f>
        <v/>
      </c>
      <c r="J22" s="19" t="str">
        <f>IF($A22="","",VLOOKUP($A22,'MG Universe'!$A$2:$R$9994,10))</f>
        <v/>
      </c>
      <c r="K22" s="23" t="str">
        <f>IF($A22="","",VLOOKUP($A22,'MG Universe'!$A$2:$R$9994,11))</f>
        <v/>
      </c>
      <c r="L22" s="19" t="str">
        <f>IF($A22="","",VLOOKUP($A22,'MG Universe'!$A$2:$R$9994,12))</f>
        <v/>
      </c>
      <c r="M22" s="19" t="str">
        <f>IF($A22="","",VLOOKUP($A22,'MG Universe'!$A$2:$R$9994,13))</f>
        <v/>
      </c>
      <c r="N22" s="22" t="str">
        <f>IF($A22="","",VLOOKUP($A22,'MG Universe'!$A$2:$R$9994,14))</f>
        <v/>
      </c>
      <c r="O22" s="23" t="str">
        <f>IF($A22="","",VLOOKUP($A22,'MG Universe'!$A$2:$R$9994,15))</f>
        <v/>
      </c>
      <c r="P22" s="19" t="str">
        <f>IF($A22="","",VLOOKUP($A22,'MG Universe'!$A$2:$R$9994,16))</f>
        <v/>
      </c>
      <c r="Q22" s="22" t="str">
        <f>IF($A22="","",VLOOKUP($A22,'MG Universe'!$A$2:$R$9994,17))</f>
        <v/>
      </c>
    </row>
    <row r="23" spans="1:17" x14ac:dyDescent="0.55000000000000004">
      <c r="A23" s="94"/>
      <c r="B23" s="19" t="str">
        <f>IF($A23="","",VLOOKUP($A23,'MG Universe'!$A$2:$R$9994,2))</f>
        <v/>
      </c>
      <c r="C23" s="19" t="str">
        <f>IF($A23="","",VLOOKUP($A23,'MG Universe'!$A$2:$R$9994,3))</f>
        <v/>
      </c>
      <c r="D23" s="19" t="str">
        <f>IF($A23="","",VLOOKUP($A23,'MG Universe'!$A$2:$R$9994,4))</f>
        <v/>
      </c>
      <c r="E23" s="19" t="str">
        <f>IF($A23="","",VLOOKUP($A23,'MG Universe'!$A$2:$R$9994,5))</f>
        <v/>
      </c>
      <c r="F23" s="20" t="str">
        <f>IF($A23="","",VLOOKUP($A23,'MG Universe'!$A$2:$R$9994,6))</f>
        <v/>
      </c>
      <c r="G23" s="22" t="str">
        <f>IF($A23="","",VLOOKUP($A23,'MG Universe'!$A$2:$R$9994,7))</f>
        <v/>
      </c>
      <c r="H23" s="22" t="str">
        <f>IF($A23="","",VLOOKUP($A23,'MG Universe'!$A$2:$R$9994,8))</f>
        <v/>
      </c>
      <c r="I23" s="23" t="str">
        <f>IF($A23="","",VLOOKUP($A23,'MG Universe'!$A$2:$R$9994,9))</f>
        <v/>
      </c>
      <c r="J23" s="19" t="str">
        <f>IF($A23="","",VLOOKUP($A23,'MG Universe'!$A$2:$R$9994,10))</f>
        <v/>
      </c>
      <c r="K23" s="23" t="str">
        <f>IF($A23="","",VLOOKUP($A23,'MG Universe'!$A$2:$R$9994,11))</f>
        <v/>
      </c>
      <c r="L23" s="19" t="str">
        <f>IF($A23="","",VLOOKUP($A23,'MG Universe'!$A$2:$R$9994,12))</f>
        <v/>
      </c>
      <c r="M23" s="19" t="str">
        <f>IF($A23="","",VLOOKUP($A23,'MG Universe'!$A$2:$R$9994,13))</f>
        <v/>
      </c>
      <c r="N23" s="22" t="str">
        <f>IF($A23="","",VLOOKUP($A23,'MG Universe'!$A$2:$R$9994,14))</f>
        <v/>
      </c>
      <c r="O23" s="23" t="str">
        <f>IF($A23="","",VLOOKUP($A23,'MG Universe'!$A$2:$R$9994,15))</f>
        <v/>
      </c>
      <c r="P23" s="19" t="str">
        <f>IF($A23="","",VLOOKUP($A23,'MG Universe'!$A$2:$R$9994,16))</f>
        <v/>
      </c>
      <c r="Q23" s="22" t="str">
        <f>IF($A23="","",VLOOKUP($A23,'MG Universe'!$A$2:$R$9994,17))</f>
        <v/>
      </c>
    </row>
    <row r="24" spans="1:17" x14ac:dyDescent="0.55000000000000004">
      <c r="A24" s="94"/>
      <c r="B24" s="19" t="str">
        <f>IF($A24="","",VLOOKUP($A24,'MG Universe'!$A$2:$R$9994,2))</f>
        <v/>
      </c>
      <c r="C24" s="19" t="str">
        <f>IF($A24="","",VLOOKUP($A24,'MG Universe'!$A$2:$R$9994,3))</f>
        <v/>
      </c>
      <c r="D24" s="19" t="str">
        <f>IF($A24="","",VLOOKUP($A24,'MG Universe'!$A$2:$R$9994,4))</f>
        <v/>
      </c>
      <c r="E24" s="19" t="str">
        <f>IF($A24="","",VLOOKUP($A24,'MG Universe'!$A$2:$R$9994,5))</f>
        <v/>
      </c>
      <c r="F24" s="20" t="str">
        <f>IF($A24="","",VLOOKUP($A24,'MG Universe'!$A$2:$R$9994,6))</f>
        <v/>
      </c>
      <c r="G24" s="22" t="str">
        <f>IF($A24="","",VLOOKUP($A24,'MG Universe'!$A$2:$R$9994,7))</f>
        <v/>
      </c>
      <c r="H24" s="22" t="str">
        <f>IF($A24="","",VLOOKUP($A24,'MG Universe'!$A$2:$R$9994,8))</f>
        <v/>
      </c>
      <c r="I24" s="23" t="str">
        <f>IF($A24="","",VLOOKUP($A24,'MG Universe'!$A$2:$R$9994,9))</f>
        <v/>
      </c>
      <c r="J24" s="19" t="str">
        <f>IF($A24="","",VLOOKUP($A24,'MG Universe'!$A$2:$R$9994,10))</f>
        <v/>
      </c>
      <c r="K24" s="23" t="str">
        <f>IF($A24="","",VLOOKUP($A24,'MG Universe'!$A$2:$R$9994,11))</f>
        <v/>
      </c>
      <c r="L24" s="19" t="str">
        <f>IF($A24="","",VLOOKUP($A24,'MG Universe'!$A$2:$R$9994,12))</f>
        <v/>
      </c>
      <c r="M24" s="19" t="str">
        <f>IF($A24="","",VLOOKUP($A24,'MG Universe'!$A$2:$R$9994,13))</f>
        <v/>
      </c>
      <c r="N24" s="22" t="str">
        <f>IF($A24="","",VLOOKUP($A24,'MG Universe'!$A$2:$R$9994,14))</f>
        <v/>
      </c>
      <c r="O24" s="23" t="str">
        <f>IF($A24="","",VLOOKUP($A24,'MG Universe'!$A$2:$R$9994,15))</f>
        <v/>
      </c>
      <c r="P24" s="19" t="str">
        <f>IF($A24="","",VLOOKUP($A24,'MG Universe'!$A$2:$R$9994,16))</f>
        <v/>
      </c>
      <c r="Q24" s="22" t="str">
        <f>IF($A24="","",VLOOKUP($A24,'MG Universe'!$A$2:$R$9994,17))</f>
        <v/>
      </c>
    </row>
    <row r="25" spans="1:17" x14ac:dyDescent="0.55000000000000004">
      <c r="A25" s="94"/>
      <c r="B25" s="19" t="str">
        <f>IF($A25="","",VLOOKUP($A25,'MG Universe'!$A$2:$R$9994,2))</f>
        <v/>
      </c>
      <c r="C25" s="19" t="str">
        <f>IF($A25="","",VLOOKUP($A25,'MG Universe'!$A$2:$R$9994,3))</f>
        <v/>
      </c>
      <c r="D25" s="19" t="str">
        <f>IF($A25="","",VLOOKUP($A25,'MG Universe'!$A$2:$R$9994,4))</f>
        <v/>
      </c>
      <c r="E25" s="19" t="str">
        <f>IF($A25="","",VLOOKUP($A25,'MG Universe'!$A$2:$R$9994,5))</f>
        <v/>
      </c>
      <c r="F25" s="20" t="str">
        <f>IF($A25="","",VLOOKUP($A25,'MG Universe'!$A$2:$R$9994,6))</f>
        <v/>
      </c>
      <c r="G25" s="22" t="str">
        <f>IF($A25="","",VLOOKUP($A25,'MG Universe'!$A$2:$R$9994,7))</f>
        <v/>
      </c>
      <c r="H25" s="22" t="str">
        <f>IF($A25="","",VLOOKUP($A25,'MG Universe'!$A$2:$R$9994,8))</f>
        <v/>
      </c>
      <c r="I25" s="23" t="str">
        <f>IF($A25="","",VLOOKUP($A25,'MG Universe'!$A$2:$R$9994,9))</f>
        <v/>
      </c>
      <c r="J25" s="19" t="str">
        <f>IF($A25="","",VLOOKUP($A25,'MG Universe'!$A$2:$R$9994,10))</f>
        <v/>
      </c>
      <c r="K25" s="23" t="str">
        <f>IF($A25="","",VLOOKUP($A25,'MG Universe'!$A$2:$R$9994,11))</f>
        <v/>
      </c>
      <c r="L25" s="19" t="str">
        <f>IF($A25="","",VLOOKUP($A25,'MG Universe'!$A$2:$R$9994,12))</f>
        <v/>
      </c>
      <c r="M25" s="19" t="str">
        <f>IF($A25="","",VLOOKUP($A25,'MG Universe'!$A$2:$R$9994,13))</f>
        <v/>
      </c>
      <c r="N25" s="22" t="str">
        <f>IF($A25="","",VLOOKUP($A25,'MG Universe'!$A$2:$R$9994,14))</f>
        <v/>
      </c>
      <c r="O25" s="23" t="str">
        <f>IF($A25="","",VLOOKUP($A25,'MG Universe'!$A$2:$R$9994,15))</f>
        <v/>
      </c>
      <c r="P25" s="19" t="str">
        <f>IF($A25="","",VLOOKUP($A25,'MG Universe'!$A$2:$R$9994,16))</f>
        <v/>
      </c>
      <c r="Q25" s="22" t="str">
        <f>IF($A25="","",VLOOKUP($A25,'MG Universe'!$A$2:$R$9994,17))</f>
        <v/>
      </c>
    </row>
    <row r="26" spans="1:17" x14ac:dyDescent="0.55000000000000004">
      <c r="A26" s="94"/>
      <c r="B26" s="19" t="str">
        <f>IF($A26="","",VLOOKUP($A26,'MG Universe'!$A$2:$R$9994,2))</f>
        <v/>
      </c>
      <c r="C26" s="19" t="str">
        <f>IF($A26="","",VLOOKUP($A26,'MG Universe'!$A$2:$R$9994,3))</f>
        <v/>
      </c>
      <c r="D26" s="19" t="str">
        <f>IF($A26="","",VLOOKUP($A26,'MG Universe'!$A$2:$R$9994,4))</f>
        <v/>
      </c>
      <c r="E26" s="19" t="str">
        <f>IF($A26="","",VLOOKUP($A26,'MG Universe'!$A$2:$R$9994,5))</f>
        <v/>
      </c>
      <c r="F26" s="20" t="str">
        <f>IF($A26="","",VLOOKUP($A26,'MG Universe'!$A$2:$R$9994,6))</f>
        <v/>
      </c>
      <c r="G26" s="22" t="str">
        <f>IF($A26="","",VLOOKUP($A26,'MG Universe'!$A$2:$R$9994,7))</f>
        <v/>
      </c>
      <c r="H26" s="22" t="str">
        <f>IF($A26="","",VLOOKUP($A26,'MG Universe'!$A$2:$R$9994,8))</f>
        <v/>
      </c>
      <c r="I26" s="23" t="str">
        <f>IF($A26="","",VLOOKUP($A26,'MG Universe'!$A$2:$R$9994,9))</f>
        <v/>
      </c>
      <c r="J26" s="19" t="str">
        <f>IF($A26="","",VLOOKUP($A26,'MG Universe'!$A$2:$R$9994,10))</f>
        <v/>
      </c>
      <c r="K26" s="23" t="str">
        <f>IF($A26="","",VLOOKUP($A26,'MG Universe'!$A$2:$R$9994,11))</f>
        <v/>
      </c>
      <c r="L26" s="19" t="str">
        <f>IF($A26="","",VLOOKUP($A26,'MG Universe'!$A$2:$R$9994,12))</f>
        <v/>
      </c>
      <c r="M26" s="19" t="str">
        <f>IF($A26="","",VLOOKUP($A26,'MG Universe'!$A$2:$R$9994,13))</f>
        <v/>
      </c>
      <c r="N26" s="22" t="str">
        <f>IF($A26="","",VLOOKUP($A26,'MG Universe'!$A$2:$R$9994,14))</f>
        <v/>
      </c>
      <c r="O26" s="23" t="str">
        <f>IF($A26="","",VLOOKUP($A26,'MG Universe'!$A$2:$R$9994,15))</f>
        <v/>
      </c>
      <c r="P26" s="19" t="str">
        <f>IF($A26="","",VLOOKUP($A26,'MG Universe'!$A$2:$R$9994,16))</f>
        <v/>
      </c>
      <c r="Q26" s="22" t="str">
        <f>IF($A26="","",VLOOKUP($A26,'MG Universe'!$A$2:$R$9994,17))</f>
        <v/>
      </c>
    </row>
    <row r="27" spans="1:17" x14ac:dyDescent="0.55000000000000004">
      <c r="A27" s="94"/>
      <c r="B27" s="19" t="str">
        <f>IF($A27="","",VLOOKUP($A27,'MG Universe'!$A$2:$R$9994,2))</f>
        <v/>
      </c>
      <c r="C27" s="19" t="str">
        <f>IF($A27="","",VLOOKUP($A27,'MG Universe'!$A$2:$R$9994,3))</f>
        <v/>
      </c>
      <c r="D27" s="19" t="str">
        <f>IF($A27="","",VLOOKUP($A27,'MG Universe'!$A$2:$R$9994,4))</f>
        <v/>
      </c>
      <c r="E27" s="19" t="str">
        <f>IF($A27="","",VLOOKUP($A27,'MG Universe'!$A$2:$R$9994,5))</f>
        <v/>
      </c>
      <c r="F27" s="20" t="str">
        <f>IF($A27="","",VLOOKUP($A27,'MG Universe'!$A$2:$R$9994,6))</f>
        <v/>
      </c>
      <c r="G27" s="22" t="str">
        <f>IF($A27="","",VLOOKUP($A27,'MG Universe'!$A$2:$R$9994,7))</f>
        <v/>
      </c>
      <c r="H27" s="22" t="str">
        <f>IF($A27="","",VLOOKUP($A27,'MG Universe'!$A$2:$R$9994,8))</f>
        <v/>
      </c>
      <c r="I27" s="23" t="str">
        <f>IF($A27="","",VLOOKUP($A27,'MG Universe'!$A$2:$R$9994,9))</f>
        <v/>
      </c>
      <c r="J27" s="19" t="str">
        <f>IF($A27="","",VLOOKUP($A27,'MG Universe'!$A$2:$R$9994,10))</f>
        <v/>
      </c>
      <c r="K27" s="23" t="str">
        <f>IF($A27="","",VLOOKUP($A27,'MG Universe'!$A$2:$R$9994,11))</f>
        <v/>
      </c>
      <c r="L27" s="19" t="str">
        <f>IF($A27="","",VLOOKUP($A27,'MG Universe'!$A$2:$R$9994,12))</f>
        <v/>
      </c>
      <c r="M27" s="19" t="str">
        <f>IF($A27="","",VLOOKUP($A27,'MG Universe'!$A$2:$R$9994,13))</f>
        <v/>
      </c>
      <c r="N27" s="22" t="str">
        <f>IF($A27="","",VLOOKUP($A27,'MG Universe'!$A$2:$R$9994,14))</f>
        <v/>
      </c>
      <c r="O27" s="23" t="str">
        <f>IF($A27="","",VLOOKUP($A27,'MG Universe'!$A$2:$R$9994,15))</f>
        <v/>
      </c>
      <c r="P27" s="19" t="str">
        <f>IF($A27="","",VLOOKUP($A27,'MG Universe'!$A$2:$R$9994,16))</f>
        <v/>
      </c>
      <c r="Q27" s="22" t="str">
        <f>IF($A27="","",VLOOKUP($A27,'MG Universe'!$A$2:$R$9994,17))</f>
        <v/>
      </c>
    </row>
    <row r="28" spans="1:17" x14ac:dyDescent="0.55000000000000004">
      <c r="A28" s="94"/>
      <c r="B28" s="19" t="str">
        <f>IF($A28="","",VLOOKUP($A28,'MG Universe'!$A$2:$R$9994,2))</f>
        <v/>
      </c>
      <c r="C28" s="19" t="str">
        <f>IF($A28="","",VLOOKUP($A28,'MG Universe'!$A$2:$R$9994,3))</f>
        <v/>
      </c>
      <c r="D28" s="19" t="str">
        <f>IF($A28="","",VLOOKUP($A28,'MG Universe'!$A$2:$R$9994,4))</f>
        <v/>
      </c>
      <c r="E28" s="19" t="str">
        <f>IF($A28="","",VLOOKUP($A28,'MG Universe'!$A$2:$R$9994,5))</f>
        <v/>
      </c>
      <c r="F28" s="20" t="str">
        <f>IF($A28="","",VLOOKUP($A28,'MG Universe'!$A$2:$R$9994,6))</f>
        <v/>
      </c>
      <c r="G28" s="22" t="str">
        <f>IF($A28="","",VLOOKUP($A28,'MG Universe'!$A$2:$R$9994,7))</f>
        <v/>
      </c>
      <c r="H28" s="22" t="str">
        <f>IF($A28="","",VLOOKUP($A28,'MG Universe'!$A$2:$R$9994,8))</f>
        <v/>
      </c>
      <c r="I28" s="23" t="str">
        <f>IF($A28="","",VLOOKUP($A28,'MG Universe'!$A$2:$R$9994,9))</f>
        <v/>
      </c>
      <c r="J28" s="19" t="str">
        <f>IF($A28="","",VLOOKUP($A28,'MG Universe'!$A$2:$R$9994,10))</f>
        <v/>
      </c>
      <c r="K28" s="23" t="str">
        <f>IF($A28="","",VLOOKUP($A28,'MG Universe'!$A$2:$R$9994,11))</f>
        <v/>
      </c>
      <c r="L28" s="19" t="str">
        <f>IF($A28="","",VLOOKUP($A28,'MG Universe'!$A$2:$R$9994,12))</f>
        <v/>
      </c>
      <c r="M28" s="19" t="str">
        <f>IF($A28="","",VLOOKUP($A28,'MG Universe'!$A$2:$R$9994,13))</f>
        <v/>
      </c>
      <c r="N28" s="22" t="str">
        <f>IF($A28="","",VLOOKUP($A28,'MG Universe'!$A$2:$R$9994,14))</f>
        <v/>
      </c>
      <c r="O28" s="23" t="str">
        <f>IF($A28="","",VLOOKUP($A28,'MG Universe'!$A$2:$R$9994,15))</f>
        <v/>
      </c>
      <c r="P28" s="19" t="str">
        <f>IF($A28="","",VLOOKUP($A28,'MG Universe'!$A$2:$R$9994,16))</f>
        <v/>
      </c>
      <c r="Q28" s="22" t="str">
        <f>IF($A28="","",VLOOKUP($A28,'MG Universe'!$A$2:$R$9994,17))</f>
        <v/>
      </c>
    </row>
    <row r="29" spans="1:17" x14ac:dyDescent="0.55000000000000004">
      <c r="A29" s="94"/>
      <c r="B29" s="19" t="str">
        <f>IF($A29="","",VLOOKUP($A29,'MG Universe'!$A$2:$R$9994,2))</f>
        <v/>
      </c>
      <c r="C29" s="19" t="str">
        <f>IF($A29="","",VLOOKUP($A29,'MG Universe'!$A$2:$R$9994,3))</f>
        <v/>
      </c>
      <c r="D29" s="19" t="str">
        <f>IF($A29="","",VLOOKUP($A29,'MG Universe'!$A$2:$R$9994,4))</f>
        <v/>
      </c>
      <c r="E29" s="19" t="str">
        <f>IF($A29="","",VLOOKUP($A29,'MG Universe'!$A$2:$R$9994,5))</f>
        <v/>
      </c>
      <c r="F29" s="20" t="str">
        <f>IF($A29="","",VLOOKUP($A29,'MG Universe'!$A$2:$R$9994,6))</f>
        <v/>
      </c>
      <c r="G29" s="22" t="str">
        <f>IF($A29="","",VLOOKUP($A29,'MG Universe'!$A$2:$R$9994,7))</f>
        <v/>
      </c>
      <c r="H29" s="22" t="str">
        <f>IF($A29="","",VLOOKUP($A29,'MG Universe'!$A$2:$R$9994,8))</f>
        <v/>
      </c>
      <c r="I29" s="23" t="str">
        <f>IF($A29="","",VLOOKUP($A29,'MG Universe'!$A$2:$R$9994,9))</f>
        <v/>
      </c>
      <c r="J29" s="19" t="str">
        <f>IF($A29="","",VLOOKUP($A29,'MG Universe'!$A$2:$R$9994,10))</f>
        <v/>
      </c>
      <c r="K29" s="23" t="str">
        <f>IF($A29="","",VLOOKUP($A29,'MG Universe'!$A$2:$R$9994,11))</f>
        <v/>
      </c>
      <c r="L29" s="19" t="str">
        <f>IF($A29="","",VLOOKUP($A29,'MG Universe'!$A$2:$R$9994,12))</f>
        <v/>
      </c>
      <c r="M29" s="19" t="str">
        <f>IF($A29="","",VLOOKUP($A29,'MG Universe'!$A$2:$R$9994,13))</f>
        <v/>
      </c>
      <c r="N29" s="22" t="str">
        <f>IF($A29="","",VLOOKUP($A29,'MG Universe'!$A$2:$R$9994,14))</f>
        <v/>
      </c>
      <c r="O29" s="23" t="str">
        <f>IF($A29="","",VLOOKUP($A29,'MG Universe'!$A$2:$R$9994,15))</f>
        <v/>
      </c>
      <c r="P29" s="19" t="str">
        <f>IF($A29="","",VLOOKUP($A29,'MG Universe'!$A$2:$R$9994,16))</f>
        <v/>
      </c>
      <c r="Q29" s="22" t="str">
        <f>IF($A29="","",VLOOKUP($A29,'MG Universe'!$A$2:$R$9994,17))</f>
        <v/>
      </c>
    </row>
    <row r="30" spans="1:17" x14ac:dyDescent="0.55000000000000004">
      <c r="A30" s="94"/>
      <c r="B30" s="19" t="str">
        <f>IF($A30="","",VLOOKUP($A30,'MG Universe'!$A$2:$R$9994,2))</f>
        <v/>
      </c>
      <c r="C30" s="19" t="str">
        <f>IF($A30="","",VLOOKUP($A30,'MG Universe'!$A$2:$R$9994,3))</f>
        <v/>
      </c>
      <c r="D30" s="19" t="str">
        <f>IF($A30="","",VLOOKUP($A30,'MG Universe'!$A$2:$R$9994,4))</f>
        <v/>
      </c>
      <c r="E30" s="19" t="str">
        <f>IF($A30="","",VLOOKUP($A30,'MG Universe'!$A$2:$R$9994,5))</f>
        <v/>
      </c>
      <c r="F30" s="20" t="str">
        <f>IF($A30="","",VLOOKUP($A30,'MG Universe'!$A$2:$R$9994,6))</f>
        <v/>
      </c>
      <c r="G30" s="22" t="str">
        <f>IF($A30="","",VLOOKUP($A30,'MG Universe'!$A$2:$R$9994,7))</f>
        <v/>
      </c>
      <c r="H30" s="22" t="str">
        <f>IF($A30="","",VLOOKUP($A30,'MG Universe'!$A$2:$R$9994,8))</f>
        <v/>
      </c>
      <c r="I30" s="23" t="str">
        <f>IF($A30="","",VLOOKUP($A30,'MG Universe'!$A$2:$R$9994,9))</f>
        <v/>
      </c>
      <c r="J30" s="19" t="str">
        <f>IF($A30="","",VLOOKUP($A30,'MG Universe'!$A$2:$R$9994,10))</f>
        <v/>
      </c>
      <c r="K30" s="23" t="str">
        <f>IF($A30="","",VLOOKUP($A30,'MG Universe'!$A$2:$R$9994,11))</f>
        <v/>
      </c>
      <c r="L30" s="19" t="str">
        <f>IF($A30="","",VLOOKUP($A30,'MG Universe'!$A$2:$R$9994,12))</f>
        <v/>
      </c>
      <c r="M30" s="19" t="str">
        <f>IF($A30="","",VLOOKUP($A30,'MG Universe'!$A$2:$R$9994,13))</f>
        <v/>
      </c>
      <c r="N30" s="22" t="str">
        <f>IF($A30="","",VLOOKUP($A30,'MG Universe'!$A$2:$R$9994,14))</f>
        <v/>
      </c>
      <c r="O30" s="23" t="str">
        <f>IF($A30="","",VLOOKUP($A30,'MG Universe'!$A$2:$R$9994,15))</f>
        <v/>
      </c>
      <c r="P30" s="19" t="str">
        <f>IF($A30="","",VLOOKUP($A30,'MG Universe'!$A$2:$R$9994,16))</f>
        <v/>
      </c>
      <c r="Q30" s="22" t="str">
        <f>IF($A30="","",VLOOKUP($A30,'MG Universe'!$A$2:$R$9994,17))</f>
        <v/>
      </c>
    </row>
    <row r="31" spans="1:17" x14ac:dyDescent="0.55000000000000004">
      <c r="A31" s="94"/>
      <c r="B31" s="19" t="str">
        <f>IF($A31="","",VLOOKUP($A31,'MG Universe'!$A$2:$R$9994,2))</f>
        <v/>
      </c>
      <c r="C31" s="19" t="str">
        <f>IF($A31="","",VLOOKUP($A31,'MG Universe'!$A$2:$R$9994,3))</f>
        <v/>
      </c>
      <c r="D31" s="19" t="str">
        <f>IF($A31="","",VLOOKUP($A31,'MG Universe'!$A$2:$R$9994,4))</f>
        <v/>
      </c>
      <c r="E31" s="19" t="str">
        <f>IF($A31="","",VLOOKUP($A31,'MG Universe'!$A$2:$R$9994,5))</f>
        <v/>
      </c>
      <c r="F31" s="20" t="str">
        <f>IF($A31="","",VLOOKUP($A31,'MG Universe'!$A$2:$R$9994,6))</f>
        <v/>
      </c>
      <c r="G31" s="22" t="str">
        <f>IF($A31="","",VLOOKUP($A31,'MG Universe'!$A$2:$R$9994,7))</f>
        <v/>
      </c>
      <c r="H31" s="22" t="str">
        <f>IF($A31="","",VLOOKUP($A31,'MG Universe'!$A$2:$R$9994,8))</f>
        <v/>
      </c>
      <c r="I31" s="23" t="str">
        <f>IF($A31="","",VLOOKUP($A31,'MG Universe'!$A$2:$R$9994,9))</f>
        <v/>
      </c>
      <c r="J31" s="19" t="str">
        <f>IF($A31="","",VLOOKUP($A31,'MG Universe'!$A$2:$R$9994,10))</f>
        <v/>
      </c>
      <c r="K31" s="23" t="str">
        <f>IF($A31="","",VLOOKUP($A31,'MG Universe'!$A$2:$R$9994,11))</f>
        <v/>
      </c>
      <c r="L31" s="19" t="str">
        <f>IF($A31="","",VLOOKUP($A31,'MG Universe'!$A$2:$R$9994,12))</f>
        <v/>
      </c>
      <c r="M31" s="19" t="str">
        <f>IF($A31="","",VLOOKUP($A31,'MG Universe'!$A$2:$R$9994,13))</f>
        <v/>
      </c>
      <c r="N31" s="22" t="str">
        <f>IF($A31="","",VLOOKUP($A31,'MG Universe'!$A$2:$R$9994,14))</f>
        <v/>
      </c>
      <c r="O31" s="23" t="str">
        <f>IF($A31="","",VLOOKUP($A31,'MG Universe'!$A$2:$R$9994,15))</f>
        <v/>
      </c>
      <c r="P31" s="19" t="str">
        <f>IF($A31="","",VLOOKUP($A31,'MG Universe'!$A$2:$R$9994,16))</f>
        <v/>
      </c>
      <c r="Q31" s="22" t="str">
        <f>IF($A31="","",VLOOKUP($A31,'MG Universe'!$A$2:$R$9994,17))</f>
        <v/>
      </c>
    </row>
    <row r="32" spans="1:17" x14ac:dyDescent="0.55000000000000004">
      <c r="A32" s="94"/>
      <c r="B32" s="19" t="str">
        <f>IF($A32="","",VLOOKUP($A32,'MG Universe'!$A$2:$R$9994,2))</f>
        <v/>
      </c>
      <c r="C32" s="19" t="str">
        <f>IF($A32="","",VLOOKUP($A32,'MG Universe'!$A$2:$R$9994,3))</f>
        <v/>
      </c>
      <c r="D32" s="19" t="str">
        <f>IF($A32="","",VLOOKUP($A32,'MG Universe'!$A$2:$R$9994,4))</f>
        <v/>
      </c>
      <c r="E32" s="19" t="str">
        <f>IF($A32="","",VLOOKUP($A32,'MG Universe'!$A$2:$R$9994,5))</f>
        <v/>
      </c>
      <c r="F32" s="20" t="str">
        <f>IF($A32="","",VLOOKUP($A32,'MG Universe'!$A$2:$R$9994,6))</f>
        <v/>
      </c>
      <c r="G32" s="22" t="str">
        <f>IF($A32="","",VLOOKUP($A32,'MG Universe'!$A$2:$R$9994,7))</f>
        <v/>
      </c>
      <c r="H32" s="22" t="str">
        <f>IF($A32="","",VLOOKUP($A32,'MG Universe'!$A$2:$R$9994,8))</f>
        <v/>
      </c>
      <c r="I32" s="23" t="str">
        <f>IF($A32="","",VLOOKUP($A32,'MG Universe'!$A$2:$R$9994,9))</f>
        <v/>
      </c>
      <c r="J32" s="19" t="str">
        <f>IF($A32="","",VLOOKUP($A32,'MG Universe'!$A$2:$R$9994,10))</f>
        <v/>
      </c>
      <c r="K32" s="23" t="str">
        <f>IF($A32="","",VLOOKUP($A32,'MG Universe'!$A$2:$R$9994,11))</f>
        <v/>
      </c>
      <c r="L32" s="19" t="str">
        <f>IF($A32="","",VLOOKUP($A32,'MG Universe'!$A$2:$R$9994,12))</f>
        <v/>
      </c>
      <c r="M32" s="19" t="str">
        <f>IF($A32="","",VLOOKUP($A32,'MG Universe'!$A$2:$R$9994,13))</f>
        <v/>
      </c>
      <c r="N32" s="22" t="str">
        <f>IF($A32="","",VLOOKUP($A32,'MG Universe'!$A$2:$R$9994,14))</f>
        <v/>
      </c>
      <c r="O32" s="23" t="str">
        <f>IF($A32="","",VLOOKUP($A32,'MG Universe'!$A$2:$R$9994,15))</f>
        <v/>
      </c>
      <c r="P32" s="19" t="str">
        <f>IF($A32="","",VLOOKUP($A32,'MG Universe'!$A$2:$R$9994,16))</f>
        <v/>
      </c>
      <c r="Q32" s="22" t="str">
        <f>IF($A32="","",VLOOKUP($A32,'MG Universe'!$A$2:$R$9994,17))</f>
        <v/>
      </c>
    </row>
    <row r="33" spans="1:17" x14ac:dyDescent="0.55000000000000004">
      <c r="A33" s="94"/>
      <c r="B33" s="19" t="str">
        <f>IF($A33="","",VLOOKUP($A33,'MG Universe'!$A$2:$R$9994,2))</f>
        <v/>
      </c>
      <c r="C33" s="19" t="str">
        <f>IF($A33="","",VLOOKUP($A33,'MG Universe'!$A$2:$R$9994,3))</f>
        <v/>
      </c>
      <c r="D33" s="19" t="str">
        <f>IF($A33="","",VLOOKUP($A33,'MG Universe'!$A$2:$R$9994,4))</f>
        <v/>
      </c>
      <c r="E33" s="19" t="str">
        <f>IF($A33="","",VLOOKUP($A33,'MG Universe'!$A$2:$R$9994,5))</f>
        <v/>
      </c>
      <c r="F33" s="20" t="str">
        <f>IF($A33="","",VLOOKUP($A33,'MG Universe'!$A$2:$R$9994,6))</f>
        <v/>
      </c>
      <c r="G33" s="22" t="str">
        <f>IF($A33="","",VLOOKUP($A33,'MG Universe'!$A$2:$R$9994,7))</f>
        <v/>
      </c>
      <c r="H33" s="22" t="str">
        <f>IF($A33="","",VLOOKUP($A33,'MG Universe'!$A$2:$R$9994,8))</f>
        <v/>
      </c>
      <c r="I33" s="23" t="str">
        <f>IF($A33="","",VLOOKUP($A33,'MG Universe'!$A$2:$R$9994,9))</f>
        <v/>
      </c>
      <c r="J33" s="19" t="str">
        <f>IF($A33="","",VLOOKUP($A33,'MG Universe'!$A$2:$R$9994,10))</f>
        <v/>
      </c>
      <c r="K33" s="23" t="str">
        <f>IF($A33="","",VLOOKUP($A33,'MG Universe'!$A$2:$R$9994,11))</f>
        <v/>
      </c>
      <c r="L33" s="19" t="str">
        <f>IF($A33="","",VLOOKUP($A33,'MG Universe'!$A$2:$R$9994,12))</f>
        <v/>
      </c>
      <c r="M33" s="19" t="str">
        <f>IF($A33="","",VLOOKUP($A33,'MG Universe'!$A$2:$R$9994,13))</f>
        <v/>
      </c>
      <c r="N33" s="22" t="str">
        <f>IF($A33="","",VLOOKUP($A33,'MG Universe'!$A$2:$R$9994,14))</f>
        <v/>
      </c>
      <c r="O33" s="23" t="str">
        <f>IF($A33="","",VLOOKUP($A33,'MG Universe'!$A$2:$R$9994,15))</f>
        <v/>
      </c>
      <c r="P33" s="19" t="str">
        <f>IF($A33="","",VLOOKUP($A33,'MG Universe'!$A$2:$R$9994,16))</f>
        <v/>
      </c>
      <c r="Q33" s="22" t="str">
        <f>IF($A33="","",VLOOKUP($A33,'MG Universe'!$A$2:$R$9994,17))</f>
        <v/>
      </c>
    </row>
    <row r="34" spans="1:17" x14ac:dyDescent="0.55000000000000004">
      <c r="A34" s="94"/>
      <c r="B34" s="19" t="str">
        <f>IF($A34="","",VLOOKUP($A34,'MG Universe'!$A$2:$R$9994,2))</f>
        <v/>
      </c>
      <c r="C34" s="19" t="str">
        <f>IF($A34="","",VLOOKUP($A34,'MG Universe'!$A$2:$R$9994,3))</f>
        <v/>
      </c>
      <c r="D34" s="19" t="str">
        <f>IF($A34="","",VLOOKUP($A34,'MG Universe'!$A$2:$R$9994,4))</f>
        <v/>
      </c>
      <c r="E34" s="19" t="str">
        <f>IF($A34="","",VLOOKUP($A34,'MG Universe'!$A$2:$R$9994,5))</f>
        <v/>
      </c>
      <c r="F34" s="20" t="str">
        <f>IF($A34="","",VLOOKUP($A34,'MG Universe'!$A$2:$R$9994,6))</f>
        <v/>
      </c>
      <c r="G34" s="22" t="str">
        <f>IF($A34="","",VLOOKUP($A34,'MG Universe'!$A$2:$R$9994,7))</f>
        <v/>
      </c>
      <c r="H34" s="22" t="str">
        <f>IF($A34="","",VLOOKUP($A34,'MG Universe'!$A$2:$R$9994,8))</f>
        <v/>
      </c>
      <c r="I34" s="23" t="str">
        <f>IF($A34="","",VLOOKUP($A34,'MG Universe'!$A$2:$R$9994,9))</f>
        <v/>
      </c>
      <c r="J34" s="19" t="str">
        <f>IF($A34="","",VLOOKUP($A34,'MG Universe'!$A$2:$R$9994,10))</f>
        <v/>
      </c>
      <c r="K34" s="23" t="str">
        <f>IF($A34="","",VLOOKUP($A34,'MG Universe'!$A$2:$R$9994,11))</f>
        <v/>
      </c>
      <c r="L34" s="19" t="str">
        <f>IF($A34="","",VLOOKUP($A34,'MG Universe'!$A$2:$R$9994,12))</f>
        <v/>
      </c>
      <c r="M34" s="19" t="str">
        <f>IF($A34="","",VLOOKUP($A34,'MG Universe'!$A$2:$R$9994,13))</f>
        <v/>
      </c>
      <c r="N34" s="22" t="str">
        <f>IF($A34="","",VLOOKUP($A34,'MG Universe'!$A$2:$R$9994,14))</f>
        <v/>
      </c>
      <c r="O34" s="23" t="str">
        <f>IF($A34="","",VLOOKUP($A34,'MG Universe'!$A$2:$R$9994,15))</f>
        <v/>
      </c>
      <c r="P34" s="19" t="str">
        <f>IF($A34="","",VLOOKUP($A34,'MG Universe'!$A$2:$R$9994,16))</f>
        <v/>
      </c>
      <c r="Q34" s="22" t="str">
        <f>IF($A34="","",VLOOKUP($A34,'MG Universe'!$A$2:$R$9994,17))</f>
        <v/>
      </c>
    </row>
    <row r="35" spans="1:17" x14ac:dyDescent="0.55000000000000004">
      <c r="A35" s="94"/>
      <c r="B35" s="19" t="str">
        <f>IF($A35="","",VLOOKUP($A35,'MG Universe'!$A$2:$R$9994,2))</f>
        <v/>
      </c>
      <c r="C35" s="19" t="str">
        <f>IF($A35="","",VLOOKUP($A35,'MG Universe'!$A$2:$R$9994,3))</f>
        <v/>
      </c>
      <c r="D35" s="19" t="str">
        <f>IF($A35="","",VLOOKUP($A35,'MG Universe'!$A$2:$R$9994,4))</f>
        <v/>
      </c>
      <c r="E35" s="19" t="str">
        <f>IF($A35="","",VLOOKUP($A35,'MG Universe'!$A$2:$R$9994,5))</f>
        <v/>
      </c>
      <c r="F35" s="20" t="str">
        <f>IF($A35="","",VLOOKUP($A35,'MG Universe'!$A$2:$R$9994,6))</f>
        <v/>
      </c>
      <c r="G35" s="22" t="str">
        <f>IF($A35="","",VLOOKUP($A35,'MG Universe'!$A$2:$R$9994,7))</f>
        <v/>
      </c>
      <c r="H35" s="22" t="str">
        <f>IF($A35="","",VLOOKUP($A35,'MG Universe'!$A$2:$R$9994,8))</f>
        <v/>
      </c>
      <c r="I35" s="23" t="str">
        <f>IF($A35="","",VLOOKUP($A35,'MG Universe'!$A$2:$R$9994,9))</f>
        <v/>
      </c>
      <c r="J35" s="19" t="str">
        <f>IF($A35="","",VLOOKUP($A35,'MG Universe'!$A$2:$R$9994,10))</f>
        <v/>
      </c>
      <c r="K35" s="23" t="str">
        <f>IF($A35="","",VLOOKUP($A35,'MG Universe'!$A$2:$R$9994,11))</f>
        <v/>
      </c>
      <c r="L35" s="19" t="str">
        <f>IF($A35="","",VLOOKUP($A35,'MG Universe'!$A$2:$R$9994,12))</f>
        <v/>
      </c>
      <c r="M35" s="19" t="str">
        <f>IF($A35="","",VLOOKUP($A35,'MG Universe'!$A$2:$R$9994,13))</f>
        <v/>
      </c>
      <c r="N35" s="22" t="str">
        <f>IF($A35="","",VLOOKUP($A35,'MG Universe'!$A$2:$R$9994,14))</f>
        <v/>
      </c>
      <c r="O35" s="23" t="str">
        <f>IF($A35="","",VLOOKUP($A35,'MG Universe'!$A$2:$R$9994,15))</f>
        <v/>
      </c>
      <c r="P35" s="19" t="str">
        <f>IF($A35="","",VLOOKUP($A35,'MG Universe'!$A$2:$R$9994,16))</f>
        <v/>
      </c>
      <c r="Q35" s="22" t="str">
        <f>IF($A35="","",VLOOKUP($A35,'MG Universe'!$A$2:$R$9994,17))</f>
        <v/>
      </c>
    </row>
    <row r="36" spans="1:17" x14ac:dyDescent="0.55000000000000004">
      <c r="A36" s="94"/>
      <c r="B36" s="19" t="str">
        <f>IF($A36="","",VLOOKUP($A36,'MG Universe'!$A$2:$R$9994,2))</f>
        <v/>
      </c>
      <c r="C36" s="19" t="str">
        <f>IF($A36="","",VLOOKUP($A36,'MG Universe'!$A$2:$R$9994,3))</f>
        <v/>
      </c>
      <c r="D36" s="19" t="str">
        <f>IF($A36="","",VLOOKUP($A36,'MG Universe'!$A$2:$R$9994,4))</f>
        <v/>
      </c>
      <c r="E36" s="19" t="str">
        <f>IF($A36="","",VLOOKUP($A36,'MG Universe'!$A$2:$R$9994,5))</f>
        <v/>
      </c>
      <c r="F36" s="20" t="str">
        <f>IF($A36="","",VLOOKUP($A36,'MG Universe'!$A$2:$R$9994,6))</f>
        <v/>
      </c>
      <c r="G36" s="22" t="str">
        <f>IF($A36="","",VLOOKUP($A36,'MG Universe'!$A$2:$R$9994,7))</f>
        <v/>
      </c>
      <c r="H36" s="22" t="str">
        <f>IF($A36="","",VLOOKUP($A36,'MG Universe'!$A$2:$R$9994,8))</f>
        <v/>
      </c>
      <c r="I36" s="23" t="str">
        <f>IF($A36="","",VLOOKUP($A36,'MG Universe'!$A$2:$R$9994,9))</f>
        <v/>
      </c>
      <c r="J36" s="19" t="str">
        <f>IF($A36="","",VLOOKUP($A36,'MG Universe'!$A$2:$R$9994,10))</f>
        <v/>
      </c>
      <c r="K36" s="23" t="str">
        <f>IF($A36="","",VLOOKUP($A36,'MG Universe'!$A$2:$R$9994,11))</f>
        <v/>
      </c>
      <c r="L36" s="19" t="str">
        <f>IF($A36="","",VLOOKUP($A36,'MG Universe'!$A$2:$R$9994,12))</f>
        <v/>
      </c>
      <c r="M36" s="19" t="str">
        <f>IF($A36="","",VLOOKUP($A36,'MG Universe'!$A$2:$R$9994,13))</f>
        <v/>
      </c>
      <c r="N36" s="22" t="str">
        <f>IF($A36="","",VLOOKUP($A36,'MG Universe'!$A$2:$R$9994,14))</f>
        <v/>
      </c>
      <c r="O36" s="23" t="str">
        <f>IF($A36="","",VLOOKUP($A36,'MG Universe'!$A$2:$R$9994,15))</f>
        <v/>
      </c>
      <c r="P36" s="19" t="str">
        <f>IF($A36="","",VLOOKUP($A36,'MG Universe'!$A$2:$R$9994,16))</f>
        <v/>
      </c>
      <c r="Q36" s="22" t="str">
        <f>IF($A36="","",VLOOKUP($A36,'MG Universe'!$A$2:$R$9994,17))</f>
        <v/>
      </c>
    </row>
    <row r="37" spans="1:17" x14ac:dyDescent="0.55000000000000004">
      <c r="A37" s="94"/>
      <c r="B37" s="19" t="str">
        <f>IF($A37="","",VLOOKUP($A37,'MG Universe'!$A$2:$R$9994,2))</f>
        <v/>
      </c>
      <c r="C37" s="19" t="str">
        <f>IF($A37="","",VLOOKUP($A37,'MG Universe'!$A$2:$R$9994,3))</f>
        <v/>
      </c>
      <c r="D37" s="19" t="str">
        <f>IF($A37="","",VLOOKUP($A37,'MG Universe'!$A$2:$R$9994,4))</f>
        <v/>
      </c>
      <c r="E37" s="19" t="str">
        <f>IF($A37="","",VLOOKUP($A37,'MG Universe'!$A$2:$R$9994,5))</f>
        <v/>
      </c>
      <c r="F37" s="20" t="str">
        <f>IF($A37="","",VLOOKUP($A37,'MG Universe'!$A$2:$R$9994,6))</f>
        <v/>
      </c>
      <c r="G37" s="22" t="str">
        <f>IF($A37="","",VLOOKUP($A37,'MG Universe'!$A$2:$R$9994,7))</f>
        <v/>
      </c>
      <c r="H37" s="22" t="str">
        <f>IF($A37="","",VLOOKUP($A37,'MG Universe'!$A$2:$R$9994,8))</f>
        <v/>
      </c>
      <c r="I37" s="23" t="str">
        <f>IF($A37="","",VLOOKUP($A37,'MG Universe'!$A$2:$R$9994,9))</f>
        <v/>
      </c>
      <c r="J37" s="19" t="str">
        <f>IF($A37="","",VLOOKUP($A37,'MG Universe'!$A$2:$R$9994,10))</f>
        <v/>
      </c>
      <c r="K37" s="23" t="str">
        <f>IF($A37="","",VLOOKUP($A37,'MG Universe'!$A$2:$R$9994,11))</f>
        <v/>
      </c>
      <c r="L37" s="19" t="str">
        <f>IF($A37="","",VLOOKUP($A37,'MG Universe'!$A$2:$R$9994,12))</f>
        <v/>
      </c>
      <c r="M37" s="19" t="str">
        <f>IF($A37="","",VLOOKUP($A37,'MG Universe'!$A$2:$R$9994,13))</f>
        <v/>
      </c>
      <c r="N37" s="22" t="str">
        <f>IF($A37="","",VLOOKUP($A37,'MG Universe'!$A$2:$R$9994,14))</f>
        <v/>
      </c>
      <c r="O37" s="23" t="str">
        <f>IF($A37="","",VLOOKUP($A37,'MG Universe'!$A$2:$R$9994,15))</f>
        <v/>
      </c>
      <c r="P37" s="19" t="str">
        <f>IF($A37="","",VLOOKUP($A37,'MG Universe'!$A$2:$R$9994,16))</f>
        <v/>
      </c>
      <c r="Q37" s="22" t="str">
        <f>IF($A37="","",VLOOKUP($A37,'MG Universe'!$A$2:$R$9994,17))</f>
        <v/>
      </c>
    </row>
    <row r="38" spans="1:17" x14ac:dyDescent="0.55000000000000004">
      <c r="A38" s="94"/>
      <c r="B38" s="19" t="str">
        <f>IF($A38="","",VLOOKUP($A38,'MG Universe'!$A$2:$R$9994,2))</f>
        <v/>
      </c>
      <c r="C38" s="19" t="str">
        <f>IF($A38="","",VLOOKUP($A38,'MG Universe'!$A$2:$R$9994,3))</f>
        <v/>
      </c>
      <c r="D38" s="19" t="str">
        <f>IF($A38="","",VLOOKUP($A38,'MG Universe'!$A$2:$R$9994,4))</f>
        <v/>
      </c>
      <c r="E38" s="19" t="str">
        <f>IF($A38="","",VLOOKUP($A38,'MG Universe'!$A$2:$R$9994,5))</f>
        <v/>
      </c>
      <c r="F38" s="20" t="str">
        <f>IF($A38="","",VLOOKUP($A38,'MG Universe'!$A$2:$R$9994,6))</f>
        <v/>
      </c>
      <c r="G38" s="22" t="str">
        <f>IF($A38="","",VLOOKUP($A38,'MG Universe'!$A$2:$R$9994,7))</f>
        <v/>
      </c>
      <c r="H38" s="22" t="str">
        <f>IF($A38="","",VLOOKUP($A38,'MG Universe'!$A$2:$R$9994,8))</f>
        <v/>
      </c>
      <c r="I38" s="23" t="str">
        <f>IF($A38="","",VLOOKUP($A38,'MG Universe'!$A$2:$R$9994,9))</f>
        <v/>
      </c>
      <c r="J38" s="19" t="str">
        <f>IF($A38="","",VLOOKUP($A38,'MG Universe'!$A$2:$R$9994,10))</f>
        <v/>
      </c>
      <c r="K38" s="23" t="str">
        <f>IF($A38="","",VLOOKUP($A38,'MG Universe'!$A$2:$R$9994,11))</f>
        <v/>
      </c>
      <c r="L38" s="19" t="str">
        <f>IF($A38="","",VLOOKUP($A38,'MG Universe'!$A$2:$R$9994,12))</f>
        <v/>
      </c>
      <c r="M38" s="19" t="str">
        <f>IF($A38="","",VLOOKUP($A38,'MG Universe'!$A$2:$R$9994,13))</f>
        <v/>
      </c>
      <c r="N38" s="22" t="str">
        <f>IF($A38="","",VLOOKUP($A38,'MG Universe'!$A$2:$R$9994,14))</f>
        <v/>
      </c>
      <c r="O38" s="23" t="str">
        <f>IF($A38="","",VLOOKUP($A38,'MG Universe'!$A$2:$R$9994,15))</f>
        <v/>
      </c>
      <c r="P38" s="19" t="str">
        <f>IF($A38="","",VLOOKUP($A38,'MG Universe'!$A$2:$R$9994,16))</f>
        <v/>
      </c>
      <c r="Q38" s="22" t="str">
        <f>IF($A38="","",VLOOKUP($A38,'MG Universe'!$A$2:$R$9994,17))</f>
        <v/>
      </c>
    </row>
    <row r="39" spans="1:17" x14ac:dyDescent="0.55000000000000004">
      <c r="A39" s="94"/>
      <c r="B39" s="19" t="str">
        <f>IF($A39="","",VLOOKUP($A39,'MG Universe'!$A$2:$R$9994,2))</f>
        <v/>
      </c>
      <c r="C39" s="19" t="str">
        <f>IF($A39="","",VLOOKUP($A39,'MG Universe'!$A$2:$R$9994,3))</f>
        <v/>
      </c>
      <c r="D39" s="19" t="str">
        <f>IF($A39="","",VLOOKUP($A39,'MG Universe'!$A$2:$R$9994,4))</f>
        <v/>
      </c>
      <c r="E39" s="19" t="str">
        <f>IF($A39="","",VLOOKUP($A39,'MG Universe'!$A$2:$R$9994,5))</f>
        <v/>
      </c>
      <c r="F39" s="20" t="str">
        <f>IF($A39="","",VLOOKUP($A39,'MG Universe'!$A$2:$R$9994,6))</f>
        <v/>
      </c>
      <c r="G39" s="22" t="str">
        <f>IF($A39="","",VLOOKUP($A39,'MG Universe'!$A$2:$R$9994,7))</f>
        <v/>
      </c>
      <c r="H39" s="22" t="str">
        <f>IF($A39="","",VLOOKUP($A39,'MG Universe'!$A$2:$R$9994,8))</f>
        <v/>
      </c>
      <c r="I39" s="23" t="str">
        <f>IF($A39="","",VLOOKUP($A39,'MG Universe'!$A$2:$R$9994,9))</f>
        <v/>
      </c>
      <c r="J39" s="19" t="str">
        <f>IF($A39="","",VLOOKUP($A39,'MG Universe'!$A$2:$R$9994,10))</f>
        <v/>
      </c>
      <c r="K39" s="23" t="str">
        <f>IF($A39="","",VLOOKUP($A39,'MG Universe'!$A$2:$R$9994,11))</f>
        <v/>
      </c>
      <c r="L39" s="19" t="str">
        <f>IF($A39="","",VLOOKUP($A39,'MG Universe'!$A$2:$R$9994,12))</f>
        <v/>
      </c>
      <c r="M39" s="19" t="str">
        <f>IF($A39="","",VLOOKUP($A39,'MG Universe'!$A$2:$R$9994,13))</f>
        <v/>
      </c>
      <c r="N39" s="22" t="str">
        <f>IF($A39="","",VLOOKUP($A39,'MG Universe'!$A$2:$R$9994,14))</f>
        <v/>
      </c>
      <c r="O39" s="23" t="str">
        <f>IF($A39="","",VLOOKUP($A39,'MG Universe'!$A$2:$R$9994,15))</f>
        <v/>
      </c>
      <c r="P39" s="19" t="str">
        <f>IF($A39="","",VLOOKUP($A39,'MG Universe'!$A$2:$R$9994,16))</f>
        <v/>
      </c>
      <c r="Q39" s="22" t="str">
        <f>IF($A39="","",VLOOKUP($A39,'MG Universe'!$A$2:$R$9994,17))</f>
        <v/>
      </c>
    </row>
    <row r="40" spans="1:17" x14ac:dyDescent="0.55000000000000004">
      <c r="A40" s="94"/>
      <c r="B40" s="19" t="str">
        <f>IF($A40="","",VLOOKUP($A40,'MG Universe'!$A$2:$R$9994,2))</f>
        <v/>
      </c>
      <c r="C40" s="19" t="str">
        <f>IF($A40="","",VLOOKUP($A40,'MG Universe'!$A$2:$R$9994,3))</f>
        <v/>
      </c>
      <c r="D40" s="19" t="str">
        <f>IF($A40="","",VLOOKUP($A40,'MG Universe'!$A$2:$R$9994,4))</f>
        <v/>
      </c>
      <c r="E40" s="19" t="str">
        <f>IF($A40="","",VLOOKUP($A40,'MG Universe'!$A$2:$R$9994,5))</f>
        <v/>
      </c>
      <c r="F40" s="20" t="str">
        <f>IF($A40="","",VLOOKUP($A40,'MG Universe'!$A$2:$R$9994,6))</f>
        <v/>
      </c>
      <c r="G40" s="22" t="str">
        <f>IF($A40="","",VLOOKUP($A40,'MG Universe'!$A$2:$R$9994,7))</f>
        <v/>
      </c>
      <c r="H40" s="22" t="str">
        <f>IF($A40="","",VLOOKUP($A40,'MG Universe'!$A$2:$R$9994,8))</f>
        <v/>
      </c>
      <c r="I40" s="23" t="str">
        <f>IF($A40="","",VLOOKUP($A40,'MG Universe'!$A$2:$R$9994,9))</f>
        <v/>
      </c>
      <c r="J40" s="19" t="str">
        <f>IF($A40="","",VLOOKUP($A40,'MG Universe'!$A$2:$R$9994,10))</f>
        <v/>
      </c>
      <c r="K40" s="23" t="str">
        <f>IF($A40="","",VLOOKUP($A40,'MG Universe'!$A$2:$R$9994,11))</f>
        <v/>
      </c>
      <c r="L40" s="19" t="str">
        <f>IF($A40="","",VLOOKUP($A40,'MG Universe'!$A$2:$R$9994,12))</f>
        <v/>
      </c>
      <c r="M40" s="19" t="str">
        <f>IF($A40="","",VLOOKUP($A40,'MG Universe'!$A$2:$R$9994,13))</f>
        <v/>
      </c>
      <c r="N40" s="22" t="str">
        <f>IF($A40="","",VLOOKUP($A40,'MG Universe'!$A$2:$R$9994,14))</f>
        <v/>
      </c>
      <c r="O40" s="23" t="str">
        <f>IF($A40="","",VLOOKUP($A40,'MG Universe'!$A$2:$R$9994,15))</f>
        <v/>
      </c>
      <c r="P40" s="19" t="str">
        <f>IF($A40="","",VLOOKUP($A40,'MG Universe'!$A$2:$R$9994,16))</f>
        <v/>
      </c>
      <c r="Q40" s="22" t="str">
        <f>IF($A40="","",VLOOKUP($A40,'MG Universe'!$A$2:$R$9994,17))</f>
        <v/>
      </c>
    </row>
    <row r="41" spans="1:17" x14ac:dyDescent="0.55000000000000004">
      <c r="A41" s="94"/>
      <c r="B41" s="19" t="str">
        <f>IF($A41="","",VLOOKUP($A41,'MG Universe'!$A$2:$R$9994,2))</f>
        <v/>
      </c>
      <c r="C41" s="19" t="str">
        <f>IF($A41="","",VLOOKUP($A41,'MG Universe'!$A$2:$R$9994,3))</f>
        <v/>
      </c>
      <c r="D41" s="19" t="str">
        <f>IF($A41="","",VLOOKUP($A41,'MG Universe'!$A$2:$R$9994,4))</f>
        <v/>
      </c>
      <c r="E41" s="19" t="str">
        <f>IF($A41="","",VLOOKUP($A41,'MG Universe'!$A$2:$R$9994,5))</f>
        <v/>
      </c>
      <c r="F41" s="20" t="str">
        <f>IF($A41="","",VLOOKUP($A41,'MG Universe'!$A$2:$R$9994,6))</f>
        <v/>
      </c>
      <c r="G41" s="22" t="str">
        <f>IF($A41="","",VLOOKUP($A41,'MG Universe'!$A$2:$R$9994,7))</f>
        <v/>
      </c>
      <c r="H41" s="22" t="str">
        <f>IF($A41="","",VLOOKUP($A41,'MG Universe'!$A$2:$R$9994,8))</f>
        <v/>
      </c>
      <c r="I41" s="23" t="str">
        <f>IF($A41="","",VLOOKUP($A41,'MG Universe'!$A$2:$R$9994,9))</f>
        <v/>
      </c>
      <c r="J41" s="19" t="str">
        <f>IF($A41="","",VLOOKUP($A41,'MG Universe'!$A$2:$R$9994,10))</f>
        <v/>
      </c>
      <c r="K41" s="23" t="str">
        <f>IF($A41="","",VLOOKUP($A41,'MG Universe'!$A$2:$R$9994,11))</f>
        <v/>
      </c>
      <c r="L41" s="19" t="str">
        <f>IF($A41="","",VLOOKUP($A41,'MG Universe'!$A$2:$R$9994,12))</f>
        <v/>
      </c>
      <c r="M41" s="19" t="str">
        <f>IF($A41="","",VLOOKUP($A41,'MG Universe'!$A$2:$R$9994,13))</f>
        <v/>
      </c>
      <c r="N41" s="22" t="str">
        <f>IF($A41="","",VLOOKUP($A41,'MG Universe'!$A$2:$R$9994,14))</f>
        <v/>
      </c>
      <c r="O41" s="23" t="str">
        <f>IF($A41="","",VLOOKUP($A41,'MG Universe'!$A$2:$R$9994,15))</f>
        <v/>
      </c>
      <c r="P41" s="19" t="str">
        <f>IF($A41="","",VLOOKUP($A41,'MG Universe'!$A$2:$R$9994,16))</f>
        <v/>
      </c>
      <c r="Q41" s="22" t="str">
        <f>IF($A41="","",VLOOKUP($A41,'MG Universe'!$A$2:$R$9994,17))</f>
        <v/>
      </c>
    </row>
    <row r="42" spans="1:17" x14ac:dyDescent="0.55000000000000004">
      <c r="A42" s="94"/>
      <c r="B42" s="19" t="str">
        <f>IF($A42="","",VLOOKUP($A42,'MG Universe'!$A$2:$R$9994,2))</f>
        <v/>
      </c>
      <c r="C42" s="19" t="str">
        <f>IF($A42="","",VLOOKUP($A42,'MG Universe'!$A$2:$R$9994,3))</f>
        <v/>
      </c>
      <c r="D42" s="19" t="str">
        <f>IF($A42="","",VLOOKUP($A42,'MG Universe'!$A$2:$R$9994,4))</f>
        <v/>
      </c>
      <c r="E42" s="19" t="str">
        <f>IF($A42="","",VLOOKUP($A42,'MG Universe'!$A$2:$R$9994,5))</f>
        <v/>
      </c>
      <c r="F42" s="20" t="str">
        <f>IF($A42="","",VLOOKUP($A42,'MG Universe'!$A$2:$R$9994,6))</f>
        <v/>
      </c>
      <c r="G42" s="22" t="str">
        <f>IF($A42="","",VLOOKUP($A42,'MG Universe'!$A$2:$R$9994,7))</f>
        <v/>
      </c>
      <c r="H42" s="22" t="str">
        <f>IF($A42="","",VLOOKUP($A42,'MG Universe'!$A$2:$R$9994,8))</f>
        <v/>
      </c>
      <c r="I42" s="23" t="str">
        <f>IF($A42="","",VLOOKUP($A42,'MG Universe'!$A$2:$R$9994,9))</f>
        <v/>
      </c>
      <c r="J42" s="19" t="str">
        <f>IF($A42="","",VLOOKUP($A42,'MG Universe'!$A$2:$R$9994,10))</f>
        <v/>
      </c>
      <c r="K42" s="23" t="str">
        <f>IF($A42="","",VLOOKUP($A42,'MG Universe'!$A$2:$R$9994,11))</f>
        <v/>
      </c>
      <c r="L42" s="19" t="str">
        <f>IF($A42="","",VLOOKUP($A42,'MG Universe'!$A$2:$R$9994,12))</f>
        <v/>
      </c>
      <c r="M42" s="19" t="str">
        <f>IF($A42="","",VLOOKUP($A42,'MG Universe'!$A$2:$R$9994,13))</f>
        <v/>
      </c>
      <c r="N42" s="22" t="str">
        <f>IF($A42="","",VLOOKUP($A42,'MG Universe'!$A$2:$R$9994,14))</f>
        <v/>
      </c>
      <c r="O42" s="23" t="str">
        <f>IF($A42="","",VLOOKUP($A42,'MG Universe'!$A$2:$R$9994,15))</f>
        <v/>
      </c>
      <c r="P42" s="19" t="str">
        <f>IF($A42="","",VLOOKUP($A42,'MG Universe'!$A$2:$R$9994,16))</f>
        <v/>
      </c>
      <c r="Q42" s="22" t="str">
        <f>IF($A42="","",VLOOKUP($A42,'MG Universe'!$A$2:$R$9994,17))</f>
        <v/>
      </c>
    </row>
    <row r="43" spans="1:17" x14ac:dyDescent="0.55000000000000004">
      <c r="A43" s="94"/>
      <c r="B43" s="19" t="str">
        <f>IF($A43="","",VLOOKUP($A43,'MG Universe'!$A$2:$R$9994,2))</f>
        <v/>
      </c>
      <c r="C43" s="19" t="str">
        <f>IF($A43="","",VLOOKUP($A43,'MG Universe'!$A$2:$R$9994,3))</f>
        <v/>
      </c>
      <c r="D43" s="19" t="str">
        <f>IF($A43="","",VLOOKUP($A43,'MG Universe'!$A$2:$R$9994,4))</f>
        <v/>
      </c>
      <c r="E43" s="19" t="str">
        <f>IF($A43="","",VLOOKUP($A43,'MG Universe'!$A$2:$R$9994,5))</f>
        <v/>
      </c>
      <c r="F43" s="20" t="str">
        <f>IF($A43="","",VLOOKUP($A43,'MG Universe'!$A$2:$R$9994,6))</f>
        <v/>
      </c>
      <c r="G43" s="22" t="str">
        <f>IF($A43="","",VLOOKUP($A43,'MG Universe'!$A$2:$R$9994,7))</f>
        <v/>
      </c>
      <c r="H43" s="22" t="str">
        <f>IF($A43="","",VLOOKUP($A43,'MG Universe'!$A$2:$R$9994,8))</f>
        <v/>
      </c>
      <c r="I43" s="23" t="str">
        <f>IF($A43="","",VLOOKUP($A43,'MG Universe'!$A$2:$R$9994,9))</f>
        <v/>
      </c>
      <c r="J43" s="19" t="str">
        <f>IF($A43="","",VLOOKUP($A43,'MG Universe'!$A$2:$R$9994,10))</f>
        <v/>
      </c>
      <c r="K43" s="23" t="str">
        <f>IF($A43="","",VLOOKUP($A43,'MG Universe'!$A$2:$R$9994,11))</f>
        <v/>
      </c>
      <c r="L43" s="19" t="str">
        <f>IF($A43="","",VLOOKUP($A43,'MG Universe'!$A$2:$R$9994,12))</f>
        <v/>
      </c>
      <c r="M43" s="19" t="str">
        <f>IF($A43="","",VLOOKUP($A43,'MG Universe'!$A$2:$R$9994,13))</f>
        <v/>
      </c>
      <c r="N43" s="22" t="str">
        <f>IF($A43="","",VLOOKUP($A43,'MG Universe'!$A$2:$R$9994,14))</f>
        <v/>
      </c>
      <c r="O43" s="23" t="str">
        <f>IF($A43="","",VLOOKUP($A43,'MG Universe'!$A$2:$R$9994,15))</f>
        <v/>
      </c>
      <c r="P43" s="19" t="str">
        <f>IF($A43="","",VLOOKUP($A43,'MG Universe'!$A$2:$R$9994,16))</f>
        <v/>
      </c>
      <c r="Q43" s="22" t="str">
        <f>IF($A43="","",VLOOKUP($A43,'MG Universe'!$A$2:$R$9994,17))</f>
        <v/>
      </c>
    </row>
    <row r="44" spans="1:17" x14ac:dyDescent="0.55000000000000004">
      <c r="A44" s="94"/>
      <c r="B44" s="19" t="str">
        <f>IF($A44="","",VLOOKUP($A44,'MG Universe'!$A$2:$R$9994,2))</f>
        <v/>
      </c>
      <c r="C44" s="19" t="str">
        <f>IF($A44="","",VLOOKUP($A44,'MG Universe'!$A$2:$R$9994,3))</f>
        <v/>
      </c>
      <c r="D44" s="19" t="str">
        <f>IF($A44="","",VLOOKUP($A44,'MG Universe'!$A$2:$R$9994,4))</f>
        <v/>
      </c>
      <c r="E44" s="19" t="str">
        <f>IF($A44="","",VLOOKUP($A44,'MG Universe'!$A$2:$R$9994,5))</f>
        <v/>
      </c>
      <c r="F44" s="20" t="str">
        <f>IF($A44="","",VLOOKUP($A44,'MG Universe'!$A$2:$R$9994,6))</f>
        <v/>
      </c>
      <c r="G44" s="22" t="str">
        <f>IF($A44="","",VLOOKUP($A44,'MG Universe'!$A$2:$R$9994,7))</f>
        <v/>
      </c>
      <c r="H44" s="22" t="str">
        <f>IF($A44="","",VLOOKUP($A44,'MG Universe'!$A$2:$R$9994,8))</f>
        <v/>
      </c>
      <c r="I44" s="23" t="str">
        <f>IF($A44="","",VLOOKUP($A44,'MG Universe'!$A$2:$R$9994,9))</f>
        <v/>
      </c>
      <c r="J44" s="19" t="str">
        <f>IF($A44="","",VLOOKUP($A44,'MG Universe'!$A$2:$R$9994,10))</f>
        <v/>
      </c>
      <c r="K44" s="23" t="str">
        <f>IF($A44="","",VLOOKUP($A44,'MG Universe'!$A$2:$R$9994,11))</f>
        <v/>
      </c>
      <c r="L44" s="19" t="str">
        <f>IF($A44="","",VLOOKUP($A44,'MG Universe'!$A$2:$R$9994,12))</f>
        <v/>
      </c>
      <c r="M44" s="19" t="str">
        <f>IF($A44="","",VLOOKUP($A44,'MG Universe'!$A$2:$R$9994,13))</f>
        <v/>
      </c>
      <c r="N44" s="22" t="str">
        <f>IF($A44="","",VLOOKUP($A44,'MG Universe'!$A$2:$R$9994,14))</f>
        <v/>
      </c>
      <c r="O44" s="23" t="str">
        <f>IF($A44="","",VLOOKUP($A44,'MG Universe'!$A$2:$R$9994,15))</f>
        <v/>
      </c>
      <c r="P44" s="19" t="str">
        <f>IF($A44="","",VLOOKUP($A44,'MG Universe'!$A$2:$R$9994,16))</f>
        <v/>
      </c>
      <c r="Q44" s="22" t="str">
        <f>IF($A44="","",VLOOKUP($A44,'MG Universe'!$A$2:$R$9994,17))</f>
        <v/>
      </c>
    </row>
    <row r="45" spans="1:17" x14ac:dyDescent="0.55000000000000004">
      <c r="A45" s="94"/>
      <c r="B45" s="19" t="str">
        <f>IF($A45="","",VLOOKUP($A45,'MG Universe'!$A$2:$R$9994,2))</f>
        <v/>
      </c>
      <c r="C45" s="19" t="str">
        <f>IF($A45="","",VLOOKUP($A45,'MG Universe'!$A$2:$R$9994,3))</f>
        <v/>
      </c>
      <c r="D45" s="19" t="str">
        <f>IF($A45="","",VLOOKUP($A45,'MG Universe'!$A$2:$R$9994,4))</f>
        <v/>
      </c>
      <c r="E45" s="19" t="str">
        <f>IF($A45="","",VLOOKUP($A45,'MG Universe'!$A$2:$R$9994,5))</f>
        <v/>
      </c>
      <c r="F45" s="20" t="str">
        <f>IF($A45="","",VLOOKUP($A45,'MG Universe'!$A$2:$R$9994,6))</f>
        <v/>
      </c>
      <c r="G45" s="22" t="str">
        <f>IF($A45="","",VLOOKUP($A45,'MG Universe'!$A$2:$R$9994,7))</f>
        <v/>
      </c>
      <c r="H45" s="22" t="str">
        <f>IF($A45="","",VLOOKUP($A45,'MG Universe'!$A$2:$R$9994,8))</f>
        <v/>
      </c>
      <c r="I45" s="23" t="str">
        <f>IF($A45="","",VLOOKUP($A45,'MG Universe'!$A$2:$R$9994,9))</f>
        <v/>
      </c>
      <c r="J45" s="19" t="str">
        <f>IF($A45="","",VLOOKUP($A45,'MG Universe'!$A$2:$R$9994,10))</f>
        <v/>
      </c>
      <c r="K45" s="23" t="str">
        <f>IF($A45="","",VLOOKUP($A45,'MG Universe'!$A$2:$R$9994,11))</f>
        <v/>
      </c>
      <c r="L45" s="19" t="str">
        <f>IF($A45="","",VLOOKUP($A45,'MG Universe'!$A$2:$R$9994,12))</f>
        <v/>
      </c>
      <c r="M45" s="19" t="str">
        <f>IF($A45="","",VLOOKUP($A45,'MG Universe'!$A$2:$R$9994,13))</f>
        <v/>
      </c>
      <c r="N45" s="22" t="str">
        <f>IF($A45="","",VLOOKUP($A45,'MG Universe'!$A$2:$R$9994,14))</f>
        <v/>
      </c>
      <c r="O45" s="23" t="str">
        <f>IF($A45="","",VLOOKUP($A45,'MG Universe'!$A$2:$R$9994,15))</f>
        <v/>
      </c>
      <c r="P45" s="19" t="str">
        <f>IF($A45="","",VLOOKUP($A45,'MG Universe'!$A$2:$R$9994,16))</f>
        <v/>
      </c>
      <c r="Q45" s="22" t="str">
        <f>IF($A45="","",VLOOKUP($A45,'MG Universe'!$A$2:$R$9994,17))</f>
        <v/>
      </c>
    </row>
    <row r="46" spans="1:17" x14ac:dyDescent="0.55000000000000004">
      <c r="A46" s="94"/>
      <c r="B46" s="19" t="str">
        <f>IF($A46="","",VLOOKUP($A46,'MG Universe'!$A$2:$R$9994,2))</f>
        <v/>
      </c>
      <c r="C46" s="19" t="str">
        <f>IF($A46="","",VLOOKUP($A46,'MG Universe'!$A$2:$R$9994,3))</f>
        <v/>
      </c>
      <c r="D46" s="19" t="str">
        <f>IF($A46="","",VLOOKUP($A46,'MG Universe'!$A$2:$R$9994,4))</f>
        <v/>
      </c>
      <c r="E46" s="19" t="str">
        <f>IF($A46="","",VLOOKUP($A46,'MG Universe'!$A$2:$R$9994,5))</f>
        <v/>
      </c>
      <c r="F46" s="20" t="str">
        <f>IF($A46="","",VLOOKUP($A46,'MG Universe'!$A$2:$R$9994,6))</f>
        <v/>
      </c>
      <c r="G46" s="22" t="str">
        <f>IF($A46="","",VLOOKUP($A46,'MG Universe'!$A$2:$R$9994,7))</f>
        <v/>
      </c>
      <c r="H46" s="22" t="str">
        <f>IF($A46="","",VLOOKUP($A46,'MG Universe'!$A$2:$R$9994,8))</f>
        <v/>
      </c>
      <c r="I46" s="23" t="str">
        <f>IF($A46="","",VLOOKUP($A46,'MG Universe'!$A$2:$R$9994,9))</f>
        <v/>
      </c>
      <c r="J46" s="19" t="str">
        <f>IF($A46="","",VLOOKUP($A46,'MG Universe'!$A$2:$R$9994,10))</f>
        <v/>
      </c>
      <c r="K46" s="23" t="str">
        <f>IF($A46="","",VLOOKUP($A46,'MG Universe'!$A$2:$R$9994,11))</f>
        <v/>
      </c>
      <c r="L46" s="19" t="str">
        <f>IF($A46="","",VLOOKUP($A46,'MG Universe'!$A$2:$R$9994,12))</f>
        <v/>
      </c>
      <c r="M46" s="19" t="str">
        <f>IF($A46="","",VLOOKUP($A46,'MG Universe'!$A$2:$R$9994,13))</f>
        <v/>
      </c>
      <c r="N46" s="22" t="str">
        <f>IF($A46="","",VLOOKUP($A46,'MG Universe'!$A$2:$R$9994,14))</f>
        <v/>
      </c>
      <c r="O46" s="23" t="str">
        <f>IF($A46="","",VLOOKUP($A46,'MG Universe'!$A$2:$R$9994,15))</f>
        <v/>
      </c>
      <c r="P46" s="19" t="str">
        <f>IF($A46="","",VLOOKUP($A46,'MG Universe'!$A$2:$R$9994,16))</f>
        <v/>
      </c>
      <c r="Q46" s="22" t="str">
        <f>IF($A46="","",VLOOKUP($A46,'MG Universe'!$A$2:$R$9994,17))</f>
        <v/>
      </c>
    </row>
    <row r="47" spans="1:17" x14ac:dyDescent="0.55000000000000004">
      <c r="A47" s="94"/>
      <c r="B47" s="19" t="str">
        <f>IF($A47="","",VLOOKUP($A47,'MG Universe'!$A$2:$R$9994,2))</f>
        <v/>
      </c>
      <c r="C47" s="19" t="str">
        <f>IF($A47="","",VLOOKUP($A47,'MG Universe'!$A$2:$R$9994,3))</f>
        <v/>
      </c>
      <c r="D47" s="19" t="str">
        <f>IF($A47="","",VLOOKUP($A47,'MG Universe'!$A$2:$R$9994,4))</f>
        <v/>
      </c>
      <c r="E47" s="19" t="str">
        <f>IF($A47="","",VLOOKUP($A47,'MG Universe'!$A$2:$R$9994,5))</f>
        <v/>
      </c>
      <c r="F47" s="20" t="str">
        <f>IF($A47="","",VLOOKUP($A47,'MG Universe'!$A$2:$R$9994,6))</f>
        <v/>
      </c>
      <c r="G47" s="22" t="str">
        <f>IF($A47="","",VLOOKUP($A47,'MG Universe'!$A$2:$R$9994,7))</f>
        <v/>
      </c>
      <c r="H47" s="22" t="str">
        <f>IF($A47="","",VLOOKUP($A47,'MG Universe'!$A$2:$R$9994,8))</f>
        <v/>
      </c>
      <c r="I47" s="23" t="str">
        <f>IF($A47="","",VLOOKUP($A47,'MG Universe'!$A$2:$R$9994,9))</f>
        <v/>
      </c>
      <c r="J47" s="19" t="str">
        <f>IF($A47="","",VLOOKUP($A47,'MG Universe'!$A$2:$R$9994,10))</f>
        <v/>
      </c>
      <c r="K47" s="23" t="str">
        <f>IF($A47="","",VLOOKUP($A47,'MG Universe'!$A$2:$R$9994,11))</f>
        <v/>
      </c>
      <c r="L47" s="19" t="str">
        <f>IF($A47="","",VLOOKUP($A47,'MG Universe'!$A$2:$R$9994,12))</f>
        <v/>
      </c>
      <c r="M47" s="19" t="str">
        <f>IF($A47="","",VLOOKUP($A47,'MG Universe'!$A$2:$R$9994,13))</f>
        <v/>
      </c>
      <c r="N47" s="22" t="str">
        <f>IF($A47="","",VLOOKUP($A47,'MG Universe'!$A$2:$R$9994,14))</f>
        <v/>
      </c>
      <c r="O47" s="23" t="str">
        <f>IF($A47="","",VLOOKUP($A47,'MG Universe'!$A$2:$R$9994,15))</f>
        <v/>
      </c>
      <c r="P47" s="19" t="str">
        <f>IF($A47="","",VLOOKUP($A47,'MG Universe'!$A$2:$R$9994,16))</f>
        <v/>
      </c>
      <c r="Q47" s="22" t="str">
        <f>IF($A47="","",VLOOKUP($A47,'MG Universe'!$A$2:$R$9994,17))</f>
        <v/>
      </c>
    </row>
    <row r="48" spans="1:17" x14ac:dyDescent="0.55000000000000004">
      <c r="A48" s="94"/>
      <c r="B48" s="19" t="str">
        <f>IF($A48="","",VLOOKUP($A48,'MG Universe'!$A$2:$R$9994,2))</f>
        <v/>
      </c>
      <c r="C48" s="19" t="str">
        <f>IF($A48="","",VLOOKUP($A48,'MG Universe'!$A$2:$R$9994,3))</f>
        <v/>
      </c>
      <c r="D48" s="19" t="str">
        <f>IF($A48="","",VLOOKUP($A48,'MG Universe'!$A$2:$R$9994,4))</f>
        <v/>
      </c>
      <c r="E48" s="19" t="str">
        <f>IF($A48="","",VLOOKUP($A48,'MG Universe'!$A$2:$R$9994,5))</f>
        <v/>
      </c>
      <c r="F48" s="20" t="str">
        <f>IF($A48="","",VLOOKUP($A48,'MG Universe'!$A$2:$R$9994,6))</f>
        <v/>
      </c>
      <c r="G48" s="22" t="str">
        <f>IF($A48="","",VLOOKUP($A48,'MG Universe'!$A$2:$R$9994,7))</f>
        <v/>
      </c>
      <c r="H48" s="22" t="str">
        <f>IF($A48="","",VLOOKUP($A48,'MG Universe'!$A$2:$R$9994,8))</f>
        <v/>
      </c>
      <c r="I48" s="23" t="str">
        <f>IF($A48="","",VLOOKUP($A48,'MG Universe'!$A$2:$R$9994,9))</f>
        <v/>
      </c>
      <c r="J48" s="19" t="str">
        <f>IF($A48="","",VLOOKUP($A48,'MG Universe'!$A$2:$R$9994,10))</f>
        <v/>
      </c>
      <c r="K48" s="23" t="str">
        <f>IF($A48="","",VLOOKUP($A48,'MG Universe'!$A$2:$R$9994,11))</f>
        <v/>
      </c>
      <c r="L48" s="19" t="str">
        <f>IF($A48="","",VLOOKUP($A48,'MG Universe'!$A$2:$R$9994,12))</f>
        <v/>
      </c>
      <c r="M48" s="19" t="str">
        <f>IF($A48="","",VLOOKUP($A48,'MG Universe'!$A$2:$R$9994,13))</f>
        <v/>
      </c>
      <c r="N48" s="22" t="str">
        <f>IF($A48="","",VLOOKUP($A48,'MG Universe'!$A$2:$R$9994,14))</f>
        <v/>
      </c>
      <c r="O48" s="23" t="str">
        <f>IF($A48="","",VLOOKUP($A48,'MG Universe'!$A$2:$R$9994,15))</f>
        <v/>
      </c>
      <c r="P48" s="19" t="str">
        <f>IF($A48="","",VLOOKUP($A48,'MG Universe'!$A$2:$R$9994,16))</f>
        <v/>
      </c>
      <c r="Q48" s="22" t="str">
        <f>IF($A48="","",VLOOKUP($A48,'MG Universe'!$A$2:$R$9994,17))</f>
        <v/>
      </c>
    </row>
    <row r="49" spans="1:17" x14ac:dyDescent="0.55000000000000004">
      <c r="A49" s="94"/>
      <c r="B49" s="19" t="str">
        <f>IF($A49="","",VLOOKUP($A49,'MG Universe'!$A$2:$R$9994,2))</f>
        <v/>
      </c>
      <c r="C49" s="19" t="str">
        <f>IF($A49="","",VLOOKUP($A49,'MG Universe'!$A$2:$R$9994,3))</f>
        <v/>
      </c>
      <c r="D49" s="19" t="str">
        <f>IF($A49="","",VLOOKUP($A49,'MG Universe'!$A$2:$R$9994,4))</f>
        <v/>
      </c>
      <c r="E49" s="19" t="str">
        <f>IF($A49="","",VLOOKUP($A49,'MG Universe'!$A$2:$R$9994,5))</f>
        <v/>
      </c>
      <c r="F49" s="20" t="str">
        <f>IF($A49="","",VLOOKUP($A49,'MG Universe'!$A$2:$R$9994,6))</f>
        <v/>
      </c>
      <c r="G49" s="22" t="str">
        <f>IF($A49="","",VLOOKUP($A49,'MG Universe'!$A$2:$R$9994,7))</f>
        <v/>
      </c>
      <c r="H49" s="22" t="str">
        <f>IF($A49="","",VLOOKUP($A49,'MG Universe'!$A$2:$R$9994,8))</f>
        <v/>
      </c>
      <c r="I49" s="23" t="str">
        <f>IF($A49="","",VLOOKUP($A49,'MG Universe'!$A$2:$R$9994,9))</f>
        <v/>
      </c>
      <c r="J49" s="19" t="str">
        <f>IF($A49="","",VLOOKUP($A49,'MG Universe'!$A$2:$R$9994,10))</f>
        <v/>
      </c>
      <c r="K49" s="23" t="str">
        <f>IF($A49="","",VLOOKUP($A49,'MG Universe'!$A$2:$R$9994,11))</f>
        <v/>
      </c>
      <c r="L49" s="19" t="str">
        <f>IF($A49="","",VLOOKUP($A49,'MG Universe'!$A$2:$R$9994,12))</f>
        <v/>
      </c>
      <c r="M49" s="19" t="str">
        <f>IF($A49="","",VLOOKUP($A49,'MG Universe'!$A$2:$R$9994,13))</f>
        <v/>
      </c>
      <c r="N49" s="22" t="str">
        <f>IF($A49="","",VLOOKUP($A49,'MG Universe'!$A$2:$R$9994,14))</f>
        <v/>
      </c>
      <c r="O49" s="23" t="str">
        <f>IF($A49="","",VLOOKUP($A49,'MG Universe'!$A$2:$R$9994,15))</f>
        <v/>
      </c>
      <c r="P49" s="19" t="str">
        <f>IF($A49="","",VLOOKUP($A49,'MG Universe'!$A$2:$R$9994,16))</f>
        <v/>
      </c>
      <c r="Q49" s="22" t="str">
        <f>IF($A49="","",VLOOKUP($A49,'MG Universe'!$A$2:$R$9994,17))</f>
        <v/>
      </c>
    </row>
    <row r="50" spans="1:17" x14ac:dyDescent="0.55000000000000004">
      <c r="A50" s="94"/>
      <c r="B50" s="19" t="str">
        <f>IF($A50="","",VLOOKUP($A50,'MG Universe'!$A$2:$R$9994,2))</f>
        <v/>
      </c>
      <c r="C50" s="19" t="str">
        <f>IF($A50="","",VLOOKUP($A50,'MG Universe'!$A$2:$R$9994,3))</f>
        <v/>
      </c>
      <c r="D50" s="19" t="str">
        <f>IF($A50="","",VLOOKUP($A50,'MG Universe'!$A$2:$R$9994,4))</f>
        <v/>
      </c>
      <c r="E50" s="19" t="str">
        <f>IF($A50="","",VLOOKUP($A50,'MG Universe'!$A$2:$R$9994,5))</f>
        <v/>
      </c>
      <c r="F50" s="20" t="str">
        <f>IF($A50="","",VLOOKUP($A50,'MG Universe'!$A$2:$R$9994,6))</f>
        <v/>
      </c>
      <c r="G50" s="22" t="str">
        <f>IF($A50="","",VLOOKUP($A50,'MG Universe'!$A$2:$R$9994,7))</f>
        <v/>
      </c>
      <c r="H50" s="22" t="str">
        <f>IF($A50="","",VLOOKUP($A50,'MG Universe'!$A$2:$R$9994,8))</f>
        <v/>
      </c>
      <c r="I50" s="23" t="str">
        <f>IF($A50="","",VLOOKUP($A50,'MG Universe'!$A$2:$R$9994,9))</f>
        <v/>
      </c>
      <c r="J50" s="19" t="str">
        <f>IF($A50="","",VLOOKUP($A50,'MG Universe'!$A$2:$R$9994,10))</f>
        <v/>
      </c>
      <c r="K50" s="23" t="str">
        <f>IF($A50="","",VLOOKUP($A50,'MG Universe'!$A$2:$R$9994,11))</f>
        <v/>
      </c>
      <c r="L50" s="19" t="str">
        <f>IF($A50="","",VLOOKUP($A50,'MG Universe'!$A$2:$R$9994,12))</f>
        <v/>
      </c>
      <c r="M50" s="19" t="str">
        <f>IF($A50="","",VLOOKUP($A50,'MG Universe'!$A$2:$R$9994,13))</f>
        <v/>
      </c>
      <c r="N50" s="22" t="str">
        <f>IF($A50="","",VLOOKUP($A50,'MG Universe'!$A$2:$R$9994,14))</f>
        <v/>
      </c>
      <c r="O50" s="23" t="str">
        <f>IF($A50="","",VLOOKUP($A50,'MG Universe'!$A$2:$R$9994,15))</f>
        <v/>
      </c>
      <c r="P50" s="19" t="str">
        <f>IF($A50="","",VLOOKUP($A50,'MG Universe'!$A$2:$R$9994,16))</f>
        <v/>
      </c>
      <c r="Q50" s="22" t="str">
        <f>IF($A50="","",VLOOKUP($A50,'MG Universe'!$A$2:$R$9994,17))</f>
        <v/>
      </c>
    </row>
    <row r="51" spans="1:17" x14ac:dyDescent="0.55000000000000004">
      <c r="A51" s="94"/>
      <c r="B51" s="19" t="str">
        <f>IF($A51="","",VLOOKUP($A51,'MG Universe'!$A$2:$R$9994,2))</f>
        <v/>
      </c>
      <c r="C51" s="19" t="str">
        <f>IF($A51="","",VLOOKUP($A51,'MG Universe'!$A$2:$R$9994,3))</f>
        <v/>
      </c>
      <c r="D51" s="19" t="str">
        <f>IF($A51="","",VLOOKUP($A51,'MG Universe'!$A$2:$R$9994,4))</f>
        <v/>
      </c>
      <c r="E51" s="19" t="str">
        <f>IF($A51="","",VLOOKUP($A51,'MG Universe'!$A$2:$R$9994,5))</f>
        <v/>
      </c>
      <c r="F51" s="20" t="str">
        <f>IF($A51="","",VLOOKUP($A51,'MG Universe'!$A$2:$R$9994,6))</f>
        <v/>
      </c>
      <c r="G51" s="22" t="str">
        <f>IF($A51="","",VLOOKUP($A51,'MG Universe'!$A$2:$R$9994,7))</f>
        <v/>
      </c>
      <c r="H51" s="22" t="str">
        <f>IF($A51="","",VLOOKUP($A51,'MG Universe'!$A$2:$R$9994,8))</f>
        <v/>
      </c>
      <c r="I51" s="23" t="str">
        <f>IF($A51="","",VLOOKUP($A51,'MG Universe'!$A$2:$R$9994,9))</f>
        <v/>
      </c>
      <c r="J51" s="19" t="str">
        <f>IF($A51="","",VLOOKUP($A51,'MG Universe'!$A$2:$R$9994,10))</f>
        <v/>
      </c>
      <c r="K51" s="23" t="str">
        <f>IF($A51="","",VLOOKUP($A51,'MG Universe'!$A$2:$R$9994,11))</f>
        <v/>
      </c>
      <c r="L51" s="19" t="str">
        <f>IF($A51="","",VLOOKUP($A51,'MG Universe'!$A$2:$R$9994,12))</f>
        <v/>
      </c>
      <c r="M51" s="19" t="str">
        <f>IF($A51="","",VLOOKUP($A51,'MG Universe'!$A$2:$R$9994,13))</f>
        <v/>
      </c>
      <c r="N51" s="22" t="str">
        <f>IF($A51="","",VLOOKUP($A51,'MG Universe'!$A$2:$R$9994,14))</f>
        <v/>
      </c>
      <c r="O51" s="23" t="str">
        <f>IF($A51="","",VLOOKUP($A51,'MG Universe'!$A$2:$R$9994,15))</f>
        <v/>
      </c>
      <c r="P51" s="19" t="str">
        <f>IF($A51="","",VLOOKUP($A51,'MG Universe'!$A$2:$R$9994,16))</f>
        <v/>
      </c>
      <c r="Q51" s="22" t="str">
        <f>IF($A51="","",VLOOKUP($A51,'MG Universe'!$A$2:$R$9994,17))</f>
        <v/>
      </c>
    </row>
    <row r="52" spans="1:17" x14ac:dyDescent="0.55000000000000004">
      <c r="A52" s="94"/>
      <c r="B52" s="19" t="str">
        <f>IF($A52="","",VLOOKUP($A52,'MG Universe'!$A$2:$R$9994,2))</f>
        <v/>
      </c>
      <c r="C52" s="19" t="str">
        <f>IF($A52="","",VLOOKUP($A52,'MG Universe'!$A$2:$R$9994,3))</f>
        <v/>
      </c>
      <c r="D52" s="19" t="str">
        <f>IF($A52="","",VLOOKUP($A52,'MG Universe'!$A$2:$R$9994,4))</f>
        <v/>
      </c>
      <c r="E52" s="19" t="str">
        <f>IF($A52="","",VLOOKUP($A52,'MG Universe'!$A$2:$R$9994,5))</f>
        <v/>
      </c>
      <c r="F52" s="20" t="str">
        <f>IF($A52="","",VLOOKUP($A52,'MG Universe'!$A$2:$R$9994,6))</f>
        <v/>
      </c>
      <c r="G52" s="22" t="str">
        <f>IF($A52="","",VLOOKUP($A52,'MG Universe'!$A$2:$R$9994,7))</f>
        <v/>
      </c>
      <c r="H52" s="22" t="str">
        <f>IF($A52="","",VLOOKUP($A52,'MG Universe'!$A$2:$R$9994,8))</f>
        <v/>
      </c>
      <c r="I52" s="23" t="str">
        <f>IF($A52="","",VLOOKUP($A52,'MG Universe'!$A$2:$R$9994,9))</f>
        <v/>
      </c>
      <c r="J52" s="19" t="str">
        <f>IF($A52="","",VLOOKUP($A52,'MG Universe'!$A$2:$R$9994,10))</f>
        <v/>
      </c>
      <c r="K52" s="23" t="str">
        <f>IF($A52="","",VLOOKUP($A52,'MG Universe'!$A$2:$R$9994,11))</f>
        <v/>
      </c>
      <c r="L52" s="19" t="str">
        <f>IF($A52="","",VLOOKUP($A52,'MG Universe'!$A$2:$R$9994,12))</f>
        <v/>
      </c>
      <c r="M52" s="19" t="str">
        <f>IF($A52="","",VLOOKUP($A52,'MG Universe'!$A$2:$R$9994,13))</f>
        <v/>
      </c>
      <c r="N52" s="22" t="str">
        <f>IF($A52="","",VLOOKUP($A52,'MG Universe'!$A$2:$R$9994,14))</f>
        <v/>
      </c>
      <c r="O52" s="23" t="str">
        <f>IF($A52="","",VLOOKUP($A52,'MG Universe'!$A$2:$R$9994,15))</f>
        <v/>
      </c>
      <c r="P52" s="19" t="str">
        <f>IF($A52="","",VLOOKUP($A52,'MG Universe'!$A$2:$R$9994,16))</f>
        <v/>
      </c>
      <c r="Q52" s="22" t="str">
        <f>IF($A52="","",VLOOKUP($A52,'MG Universe'!$A$2:$R$9994,17))</f>
        <v/>
      </c>
    </row>
    <row r="53" spans="1:17" x14ac:dyDescent="0.55000000000000004">
      <c r="A53" s="94"/>
      <c r="B53" s="19" t="str">
        <f>IF($A53="","",VLOOKUP($A53,'MG Universe'!$A$2:$R$9994,2))</f>
        <v/>
      </c>
      <c r="C53" s="19" t="str">
        <f>IF($A53="","",VLOOKUP($A53,'MG Universe'!$A$2:$R$9994,3))</f>
        <v/>
      </c>
      <c r="D53" s="19" t="str">
        <f>IF($A53="","",VLOOKUP($A53,'MG Universe'!$A$2:$R$9994,4))</f>
        <v/>
      </c>
      <c r="E53" s="19" t="str">
        <f>IF($A53="","",VLOOKUP($A53,'MG Universe'!$A$2:$R$9994,5))</f>
        <v/>
      </c>
      <c r="F53" s="20" t="str">
        <f>IF($A53="","",VLOOKUP($A53,'MG Universe'!$A$2:$R$9994,6))</f>
        <v/>
      </c>
      <c r="G53" s="22" t="str">
        <f>IF($A53="","",VLOOKUP($A53,'MG Universe'!$A$2:$R$9994,7))</f>
        <v/>
      </c>
      <c r="H53" s="22" t="str">
        <f>IF($A53="","",VLOOKUP($A53,'MG Universe'!$A$2:$R$9994,8))</f>
        <v/>
      </c>
      <c r="I53" s="23" t="str">
        <f>IF($A53="","",VLOOKUP($A53,'MG Universe'!$A$2:$R$9994,9))</f>
        <v/>
      </c>
      <c r="J53" s="19" t="str">
        <f>IF($A53="","",VLOOKUP($A53,'MG Universe'!$A$2:$R$9994,10))</f>
        <v/>
      </c>
      <c r="K53" s="23" t="str">
        <f>IF($A53="","",VLOOKUP($A53,'MG Universe'!$A$2:$R$9994,11))</f>
        <v/>
      </c>
      <c r="L53" s="19" t="str">
        <f>IF($A53="","",VLOOKUP($A53,'MG Universe'!$A$2:$R$9994,12))</f>
        <v/>
      </c>
      <c r="M53" s="19" t="str">
        <f>IF($A53="","",VLOOKUP($A53,'MG Universe'!$A$2:$R$9994,13))</f>
        <v/>
      </c>
      <c r="N53" s="22" t="str">
        <f>IF($A53="","",VLOOKUP($A53,'MG Universe'!$A$2:$R$9994,14))</f>
        <v/>
      </c>
      <c r="O53" s="23" t="str">
        <f>IF($A53="","",VLOOKUP($A53,'MG Universe'!$A$2:$R$9994,15))</f>
        <v/>
      </c>
      <c r="P53" s="19" t="str">
        <f>IF($A53="","",VLOOKUP($A53,'MG Universe'!$A$2:$R$9994,16))</f>
        <v/>
      </c>
      <c r="Q53" s="22" t="str">
        <f>IF($A53="","",VLOOKUP($A53,'MG Universe'!$A$2:$R$9994,17))</f>
        <v/>
      </c>
    </row>
    <row r="54" spans="1:17" x14ac:dyDescent="0.55000000000000004">
      <c r="A54" s="94"/>
      <c r="B54" s="19" t="str">
        <f>IF($A54="","",VLOOKUP($A54,'MG Universe'!$A$2:$R$9994,2))</f>
        <v/>
      </c>
      <c r="C54" s="19" t="str">
        <f>IF($A54="","",VLOOKUP($A54,'MG Universe'!$A$2:$R$9994,3))</f>
        <v/>
      </c>
      <c r="D54" s="19" t="str">
        <f>IF($A54="","",VLOOKUP($A54,'MG Universe'!$A$2:$R$9994,4))</f>
        <v/>
      </c>
      <c r="E54" s="19" t="str">
        <f>IF($A54="","",VLOOKUP($A54,'MG Universe'!$A$2:$R$9994,5))</f>
        <v/>
      </c>
      <c r="F54" s="20" t="str">
        <f>IF($A54="","",VLOOKUP($A54,'MG Universe'!$A$2:$R$9994,6))</f>
        <v/>
      </c>
      <c r="G54" s="22" t="str">
        <f>IF($A54="","",VLOOKUP($A54,'MG Universe'!$A$2:$R$9994,7))</f>
        <v/>
      </c>
      <c r="H54" s="22" t="str">
        <f>IF($A54="","",VLOOKUP($A54,'MG Universe'!$A$2:$R$9994,8))</f>
        <v/>
      </c>
      <c r="I54" s="23" t="str">
        <f>IF($A54="","",VLOOKUP($A54,'MG Universe'!$A$2:$R$9994,9))</f>
        <v/>
      </c>
      <c r="J54" s="19" t="str">
        <f>IF($A54="","",VLOOKUP($A54,'MG Universe'!$A$2:$R$9994,10))</f>
        <v/>
      </c>
      <c r="K54" s="23" t="str">
        <f>IF($A54="","",VLOOKUP($A54,'MG Universe'!$A$2:$R$9994,11))</f>
        <v/>
      </c>
      <c r="L54" s="19" t="str">
        <f>IF($A54="","",VLOOKUP($A54,'MG Universe'!$A$2:$R$9994,12))</f>
        <v/>
      </c>
      <c r="M54" s="19" t="str">
        <f>IF($A54="","",VLOOKUP($A54,'MG Universe'!$A$2:$R$9994,13))</f>
        <v/>
      </c>
      <c r="N54" s="22" t="str">
        <f>IF($A54="","",VLOOKUP($A54,'MG Universe'!$A$2:$R$9994,14))</f>
        <v/>
      </c>
      <c r="O54" s="23" t="str">
        <f>IF($A54="","",VLOOKUP($A54,'MG Universe'!$A$2:$R$9994,15))</f>
        <v/>
      </c>
      <c r="P54" s="19" t="str">
        <f>IF($A54="","",VLOOKUP($A54,'MG Universe'!$A$2:$R$9994,16))</f>
        <v/>
      </c>
      <c r="Q54" s="22" t="str">
        <f>IF($A54="","",VLOOKUP($A54,'MG Universe'!$A$2:$R$9994,17))</f>
        <v/>
      </c>
    </row>
    <row r="55" spans="1:17" x14ac:dyDescent="0.55000000000000004">
      <c r="A55" s="94"/>
      <c r="B55" s="19" t="str">
        <f>IF($A55="","",VLOOKUP($A55,'MG Universe'!$A$2:$R$9994,2))</f>
        <v/>
      </c>
      <c r="C55" s="19" t="str">
        <f>IF($A55="","",VLOOKUP($A55,'MG Universe'!$A$2:$R$9994,3))</f>
        <v/>
      </c>
      <c r="D55" s="19" t="str">
        <f>IF($A55="","",VLOOKUP($A55,'MG Universe'!$A$2:$R$9994,4))</f>
        <v/>
      </c>
      <c r="E55" s="19" t="str">
        <f>IF($A55="","",VLOOKUP($A55,'MG Universe'!$A$2:$R$9994,5))</f>
        <v/>
      </c>
      <c r="F55" s="20" t="str">
        <f>IF($A55="","",VLOOKUP($A55,'MG Universe'!$A$2:$R$9994,6))</f>
        <v/>
      </c>
      <c r="G55" s="22" t="str">
        <f>IF($A55="","",VLOOKUP($A55,'MG Universe'!$A$2:$R$9994,7))</f>
        <v/>
      </c>
      <c r="H55" s="22" t="str">
        <f>IF($A55="","",VLOOKUP($A55,'MG Universe'!$A$2:$R$9994,8))</f>
        <v/>
      </c>
      <c r="I55" s="23" t="str">
        <f>IF($A55="","",VLOOKUP($A55,'MG Universe'!$A$2:$R$9994,9))</f>
        <v/>
      </c>
      <c r="J55" s="19" t="str">
        <f>IF($A55="","",VLOOKUP($A55,'MG Universe'!$A$2:$R$9994,10))</f>
        <v/>
      </c>
      <c r="K55" s="23" t="str">
        <f>IF($A55="","",VLOOKUP($A55,'MG Universe'!$A$2:$R$9994,11))</f>
        <v/>
      </c>
      <c r="L55" s="19" t="str">
        <f>IF($A55="","",VLOOKUP($A55,'MG Universe'!$A$2:$R$9994,12))</f>
        <v/>
      </c>
      <c r="M55" s="19" t="str">
        <f>IF($A55="","",VLOOKUP($A55,'MG Universe'!$A$2:$R$9994,13))</f>
        <v/>
      </c>
      <c r="N55" s="22" t="str">
        <f>IF($A55="","",VLOOKUP($A55,'MG Universe'!$A$2:$R$9994,14))</f>
        <v/>
      </c>
      <c r="O55" s="23" t="str">
        <f>IF($A55="","",VLOOKUP($A55,'MG Universe'!$A$2:$R$9994,15))</f>
        <v/>
      </c>
      <c r="P55" s="19" t="str">
        <f>IF($A55="","",VLOOKUP($A55,'MG Universe'!$A$2:$R$9994,16))</f>
        <v/>
      </c>
      <c r="Q55" s="22" t="str">
        <f>IF($A55="","",VLOOKUP($A55,'MG Universe'!$A$2:$R$9994,17))</f>
        <v/>
      </c>
    </row>
    <row r="56" spans="1:17" x14ac:dyDescent="0.55000000000000004">
      <c r="A56" s="94"/>
      <c r="B56" s="19" t="str">
        <f>IF($A56="","",VLOOKUP($A56,'MG Universe'!$A$2:$R$9994,2))</f>
        <v/>
      </c>
      <c r="C56" s="19" t="str">
        <f>IF($A56="","",VLOOKUP($A56,'MG Universe'!$A$2:$R$9994,3))</f>
        <v/>
      </c>
      <c r="D56" s="19" t="str">
        <f>IF($A56="","",VLOOKUP($A56,'MG Universe'!$A$2:$R$9994,4))</f>
        <v/>
      </c>
      <c r="E56" s="19" t="str">
        <f>IF($A56="","",VLOOKUP($A56,'MG Universe'!$A$2:$R$9994,5))</f>
        <v/>
      </c>
      <c r="F56" s="20" t="str">
        <f>IF($A56="","",VLOOKUP($A56,'MG Universe'!$A$2:$R$9994,6))</f>
        <v/>
      </c>
      <c r="G56" s="22" t="str">
        <f>IF($A56="","",VLOOKUP($A56,'MG Universe'!$A$2:$R$9994,7))</f>
        <v/>
      </c>
      <c r="H56" s="22" t="str">
        <f>IF($A56="","",VLOOKUP($A56,'MG Universe'!$A$2:$R$9994,8))</f>
        <v/>
      </c>
      <c r="I56" s="23" t="str">
        <f>IF($A56="","",VLOOKUP($A56,'MG Universe'!$A$2:$R$9994,9))</f>
        <v/>
      </c>
      <c r="J56" s="19" t="str">
        <f>IF($A56="","",VLOOKUP($A56,'MG Universe'!$A$2:$R$9994,10))</f>
        <v/>
      </c>
      <c r="K56" s="23" t="str">
        <f>IF($A56="","",VLOOKUP($A56,'MG Universe'!$A$2:$R$9994,11))</f>
        <v/>
      </c>
      <c r="L56" s="19" t="str">
        <f>IF($A56="","",VLOOKUP($A56,'MG Universe'!$A$2:$R$9994,12))</f>
        <v/>
      </c>
      <c r="M56" s="19" t="str">
        <f>IF($A56="","",VLOOKUP($A56,'MG Universe'!$A$2:$R$9994,13))</f>
        <v/>
      </c>
      <c r="N56" s="22" t="str">
        <f>IF($A56="","",VLOOKUP($A56,'MG Universe'!$A$2:$R$9994,14))</f>
        <v/>
      </c>
      <c r="O56" s="23" t="str">
        <f>IF($A56="","",VLOOKUP($A56,'MG Universe'!$A$2:$R$9994,15))</f>
        <v/>
      </c>
      <c r="P56" s="19" t="str">
        <f>IF($A56="","",VLOOKUP($A56,'MG Universe'!$A$2:$R$9994,16))</f>
        <v/>
      </c>
      <c r="Q56" s="22" t="str">
        <f>IF($A56="","",VLOOKUP($A56,'MG Universe'!$A$2:$R$9994,17))</f>
        <v/>
      </c>
    </row>
    <row r="57" spans="1:17" x14ac:dyDescent="0.55000000000000004">
      <c r="A57" s="94"/>
      <c r="B57" s="19" t="str">
        <f>IF($A57="","",VLOOKUP($A57,'MG Universe'!$A$2:$R$9994,2))</f>
        <v/>
      </c>
      <c r="C57" s="19" t="str">
        <f>IF($A57="","",VLOOKUP($A57,'MG Universe'!$A$2:$R$9994,3))</f>
        <v/>
      </c>
      <c r="D57" s="19" t="str">
        <f>IF($A57="","",VLOOKUP($A57,'MG Universe'!$A$2:$R$9994,4))</f>
        <v/>
      </c>
      <c r="E57" s="19" t="str">
        <f>IF($A57="","",VLOOKUP($A57,'MG Universe'!$A$2:$R$9994,5))</f>
        <v/>
      </c>
      <c r="F57" s="20" t="str">
        <f>IF($A57="","",VLOOKUP($A57,'MG Universe'!$A$2:$R$9994,6))</f>
        <v/>
      </c>
      <c r="G57" s="22" t="str">
        <f>IF($A57="","",VLOOKUP($A57,'MG Universe'!$A$2:$R$9994,7))</f>
        <v/>
      </c>
      <c r="H57" s="22" t="str">
        <f>IF($A57="","",VLOOKUP($A57,'MG Universe'!$A$2:$R$9994,8))</f>
        <v/>
      </c>
      <c r="I57" s="23" t="str">
        <f>IF($A57="","",VLOOKUP($A57,'MG Universe'!$A$2:$R$9994,9))</f>
        <v/>
      </c>
      <c r="J57" s="19" t="str">
        <f>IF($A57="","",VLOOKUP($A57,'MG Universe'!$A$2:$R$9994,10))</f>
        <v/>
      </c>
      <c r="K57" s="23" t="str">
        <f>IF($A57="","",VLOOKUP($A57,'MG Universe'!$A$2:$R$9994,11))</f>
        <v/>
      </c>
      <c r="L57" s="19" t="str">
        <f>IF($A57="","",VLOOKUP($A57,'MG Universe'!$A$2:$R$9994,12))</f>
        <v/>
      </c>
      <c r="M57" s="19" t="str">
        <f>IF($A57="","",VLOOKUP($A57,'MG Universe'!$A$2:$R$9994,13))</f>
        <v/>
      </c>
      <c r="N57" s="22" t="str">
        <f>IF($A57="","",VLOOKUP($A57,'MG Universe'!$A$2:$R$9994,14))</f>
        <v/>
      </c>
      <c r="O57" s="23" t="str">
        <f>IF($A57="","",VLOOKUP($A57,'MG Universe'!$A$2:$R$9994,15))</f>
        <v/>
      </c>
      <c r="P57" s="19" t="str">
        <f>IF($A57="","",VLOOKUP($A57,'MG Universe'!$A$2:$R$9994,16))</f>
        <v/>
      </c>
      <c r="Q57" s="22" t="str">
        <f>IF($A57="","",VLOOKUP($A57,'MG Universe'!$A$2:$R$9994,17))</f>
        <v/>
      </c>
    </row>
    <row r="58" spans="1:17" x14ac:dyDescent="0.55000000000000004">
      <c r="A58" s="94"/>
      <c r="B58" s="19" t="str">
        <f>IF($A58="","",VLOOKUP($A58,'MG Universe'!$A$2:$R$9994,2))</f>
        <v/>
      </c>
      <c r="C58" s="19" t="str">
        <f>IF($A58="","",VLOOKUP($A58,'MG Universe'!$A$2:$R$9994,3))</f>
        <v/>
      </c>
      <c r="D58" s="19" t="str">
        <f>IF($A58="","",VLOOKUP($A58,'MG Universe'!$A$2:$R$9994,4))</f>
        <v/>
      </c>
      <c r="E58" s="19" t="str">
        <f>IF($A58="","",VLOOKUP($A58,'MG Universe'!$A$2:$R$9994,5))</f>
        <v/>
      </c>
      <c r="F58" s="20" t="str">
        <f>IF($A58="","",VLOOKUP($A58,'MG Universe'!$A$2:$R$9994,6))</f>
        <v/>
      </c>
      <c r="G58" s="22" t="str">
        <f>IF($A58="","",VLOOKUP($A58,'MG Universe'!$A$2:$R$9994,7))</f>
        <v/>
      </c>
      <c r="H58" s="22" t="str">
        <f>IF($A58="","",VLOOKUP($A58,'MG Universe'!$A$2:$R$9994,8))</f>
        <v/>
      </c>
      <c r="I58" s="23" t="str">
        <f>IF($A58="","",VLOOKUP($A58,'MG Universe'!$A$2:$R$9994,9))</f>
        <v/>
      </c>
      <c r="J58" s="19" t="str">
        <f>IF($A58="","",VLOOKUP($A58,'MG Universe'!$A$2:$R$9994,10))</f>
        <v/>
      </c>
      <c r="K58" s="23" t="str">
        <f>IF($A58="","",VLOOKUP($A58,'MG Universe'!$A$2:$R$9994,11))</f>
        <v/>
      </c>
      <c r="L58" s="19" t="str">
        <f>IF($A58="","",VLOOKUP($A58,'MG Universe'!$A$2:$R$9994,12))</f>
        <v/>
      </c>
      <c r="M58" s="19" t="str">
        <f>IF($A58="","",VLOOKUP($A58,'MG Universe'!$A$2:$R$9994,13))</f>
        <v/>
      </c>
      <c r="N58" s="22" t="str">
        <f>IF($A58="","",VLOOKUP($A58,'MG Universe'!$A$2:$R$9994,14))</f>
        <v/>
      </c>
      <c r="O58" s="23" t="str">
        <f>IF($A58="","",VLOOKUP($A58,'MG Universe'!$A$2:$R$9994,15))</f>
        <v/>
      </c>
      <c r="P58" s="19" t="str">
        <f>IF($A58="","",VLOOKUP($A58,'MG Universe'!$A$2:$R$9994,16))</f>
        <v/>
      </c>
      <c r="Q58" s="22" t="str">
        <f>IF($A58="","",VLOOKUP($A58,'MG Universe'!$A$2:$R$9994,17))</f>
        <v/>
      </c>
    </row>
    <row r="59" spans="1:17" x14ac:dyDescent="0.55000000000000004">
      <c r="A59" s="94"/>
      <c r="B59" s="19" t="str">
        <f>IF($A59="","",VLOOKUP($A59,'MG Universe'!$A$2:$R$9994,2))</f>
        <v/>
      </c>
      <c r="C59" s="19" t="str">
        <f>IF($A59="","",VLOOKUP($A59,'MG Universe'!$A$2:$R$9994,3))</f>
        <v/>
      </c>
      <c r="D59" s="19" t="str">
        <f>IF($A59="","",VLOOKUP($A59,'MG Universe'!$A$2:$R$9994,4))</f>
        <v/>
      </c>
      <c r="E59" s="19" t="str">
        <f>IF($A59="","",VLOOKUP($A59,'MG Universe'!$A$2:$R$9994,5))</f>
        <v/>
      </c>
      <c r="F59" s="20" t="str">
        <f>IF($A59="","",VLOOKUP($A59,'MG Universe'!$A$2:$R$9994,6))</f>
        <v/>
      </c>
      <c r="G59" s="22" t="str">
        <f>IF($A59="","",VLOOKUP($A59,'MG Universe'!$A$2:$R$9994,7))</f>
        <v/>
      </c>
      <c r="H59" s="22" t="str">
        <f>IF($A59="","",VLOOKUP($A59,'MG Universe'!$A$2:$R$9994,8))</f>
        <v/>
      </c>
      <c r="I59" s="23" t="str">
        <f>IF($A59="","",VLOOKUP($A59,'MG Universe'!$A$2:$R$9994,9))</f>
        <v/>
      </c>
      <c r="J59" s="19" t="str">
        <f>IF($A59="","",VLOOKUP($A59,'MG Universe'!$A$2:$R$9994,10))</f>
        <v/>
      </c>
      <c r="K59" s="23" t="str">
        <f>IF($A59="","",VLOOKUP($A59,'MG Universe'!$A$2:$R$9994,11))</f>
        <v/>
      </c>
      <c r="L59" s="19" t="str">
        <f>IF($A59="","",VLOOKUP($A59,'MG Universe'!$A$2:$R$9994,12))</f>
        <v/>
      </c>
      <c r="M59" s="19" t="str">
        <f>IF($A59="","",VLOOKUP($A59,'MG Universe'!$A$2:$R$9994,13))</f>
        <v/>
      </c>
      <c r="N59" s="22" t="str">
        <f>IF($A59="","",VLOOKUP($A59,'MG Universe'!$A$2:$R$9994,14))</f>
        <v/>
      </c>
      <c r="O59" s="23" t="str">
        <f>IF($A59="","",VLOOKUP($A59,'MG Universe'!$A$2:$R$9994,15))</f>
        <v/>
      </c>
      <c r="P59" s="19" t="str">
        <f>IF($A59="","",VLOOKUP($A59,'MG Universe'!$A$2:$R$9994,16))</f>
        <v/>
      </c>
      <c r="Q59" s="22" t="str">
        <f>IF($A59="","",VLOOKUP($A59,'MG Universe'!$A$2:$R$9994,17))</f>
        <v/>
      </c>
    </row>
    <row r="60" spans="1:17" x14ac:dyDescent="0.55000000000000004">
      <c r="A60" s="94"/>
      <c r="B60" s="19" t="str">
        <f>IF($A60="","",VLOOKUP($A60,'MG Universe'!$A$2:$R$9994,2))</f>
        <v/>
      </c>
      <c r="C60" s="19" t="str">
        <f>IF($A60="","",VLOOKUP($A60,'MG Universe'!$A$2:$R$9994,3))</f>
        <v/>
      </c>
      <c r="D60" s="19" t="str">
        <f>IF($A60="","",VLOOKUP($A60,'MG Universe'!$A$2:$R$9994,4))</f>
        <v/>
      </c>
      <c r="E60" s="19" t="str">
        <f>IF($A60="","",VLOOKUP($A60,'MG Universe'!$A$2:$R$9994,5))</f>
        <v/>
      </c>
      <c r="F60" s="20" t="str">
        <f>IF($A60="","",VLOOKUP($A60,'MG Universe'!$A$2:$R$9994,6))</f>
        <v/>
      </c>
      <c r="G60" s="22" t="str">
        <f>IF($A60="","",VLOOKUP($A60,'MG Universe'!$A$2:$R$9994,7))</f>
        <v/>
      </c>
      <c r="H60" s="22" t="str">
        <f>IF($A60="","",VLOOKUP($A60,'MG Universe'!$A$2:$R$9994,8))</f>
        <v/>
      </c>
      <c r="I60" s="23" t="str">
        <f>IF($A60="","",VLOOKUP($A60,'MG Universe'!$A$2:$R$9994,9))</f>
        <v/>
      </c>
      <c r="J60" s="19" t="str">
        <f>IF($A60="","",VLOOKUP($A60,'MG Universe'!$A$2:$R$9994,10))</f>
        <v/>
      </c>
      <c r="K60" s="23" t="str">
        <f>IF($A60="","",VLOOKUP($A60,'MG Universe'!$A$2:$R$9994,11))</f>
        <v/>
      </c>
      <c r="L60" s="19" t="str">
        <f>IF($A60="","",VLOOKUP($A60,'MG Universe'!$A$2:$R$9994,12))</f>
        <v/>
      </c>
      <c r="M60" s="19" t="str">
        <f>IF($A60="","",VLOOKUP($A60,'MG Universe'!$A$2:$R$9994,13))</f>
        <v/>
      </c>
      <c r="N60" s="22" t="str">
        <f>IF($A60="","",VLOOKUP($A60,'MG Universe'!$A$2:$R$9994,14))</f>
        <v/>
      </c>
      <c r="O60" s="23" t="str">
        <f>IF($A60="","",VLOOKUP($A60,'MG Universe'!$A$2:$R$9994,15))</f>
        <v/>
      </c>
      <c r="P60" s="19" t="str">
        <f>IF($A60="","",VLOOKUP($A60,'MG Universe'!$A$2:$R$9994,16))</f>
        <v/>
      </c>
      <c r="Q60" s="22" t="str">
        <f>IF($A60="","",VLOOKUP($A60,'MG Universe'!$A$2:$R$9994,17))</f>
        <v/>
      </c>
    </row>
    <row r="61" spans="1:17" x14ac:dyDescent="0.55000000000000004">
      <c r="A61" s="94"/>
      <c r="B61" s="19" t="str">
        <f>IF($A61="","",VLOOKUP($A61,'MG Universe'!$A$2:$R$9994,2))</f>
        <v/>
      </c>
      <c r="C61" s="19" t="str">
        <f>IF($A61="","",VLOOKUP($A61,'MG Universe'!$A$2:$R$9994,3))</f>
        <v/>
      </c>
      <c r="D61" s="19" t="str">
        <f>IF($A61="","",VLOOKUP($A61,'MG Universe'!$A$2:$R$9994,4))</f>
        <v/>
      </c>
      <c r="E61" s="19" t="str">
        <f>IF($A61="","",VLOOKUP($A61,'MG Universe'!$A$2:$R$9994,5))</f>
        <v/>
      </c>
      <c r="F61" s="20" t="str">
        <f>IF($A61="","",VLOOKUP($A61,'MG Universe'!$A$2:$R$9994,6))</f>
        <v/>
      </c>
      <c r="G61" s="22" t="str">
        <f>IF($A61="","",VLOOKUP($A61,'MG Universe'!$A$2:$R$9994,7))</f>
        <v/>
      </c>
      <c r="H61" s="22" t="str">
        <f>IF($A61="","",VLOOKUP($A61,'MG Universe'!$A$2:$R$9994,8))</f>
        <v/>
      </c>
      <c r="I61" s="23" t="str">
        <f>IF($A61="","",VLOOKUP($A61,'MG Universe'!$A$2:$R$9994,9))</f>
        <v/>
      </c>
      <c r="J61" s="19" t="str">
        <f>IF($A61="","",VLOOKUP($A61,'MG Universe'!$A$2:$R$9994,10))</f>
        <v/>
      </c>
      <c r="K61" s="23" t="str">
        <f>IF($A61="","",VLOOKUP($A61,'MG Universe'!$A$2:$R$9994,11))</f>
        <v/>
      </c>
      <c r="L61" s="19" t="str">
        <f>IF($A61="","",VLOOKUP($A61,'MG Universe'!$A$2:$R$9994,12))</f>
        <v/>
      </c>
      <c r="M61" s="19" t="str">
        <f>IF($A61="","",VLOOKUP($A61,'MG Universe'!$A$2:$R$9994,13))</f>
        <v/>
      </c>
      <c r="N61" s="22" t="str">
        <f>IF($A61="","",VLOOKUP($A61,'MG Universe'!$A$2:$R$9994,14))</f>
        <v/>
      </c>
      <c r="O61" s="23" t="str">
        <f>IF($A61="","",VLOOKUP($A61,'MG Universe'!$A$2:$R$9994,15))</f>
        <v/>
      </c>
      <c r="P61" s="19" t="str">
        <f>IF($A61="","",VLOOKUP($A61,'MG Universe'!$A$2:$R$9994,16))</f>
        <v/>
      </c>
      <c r="Q61" s="22" t="str">
        <f>IF($A61="","",VLOOKUP($A61,'MG Universe'!$A$2:$R$9994,17))</f>
        <v/>
      </c>
    </row>
    <row r="62" spans="1:17" x14ac:dyDescent="0.55000000000000004">
      <c r="A62" s="94"/>
      <c r="B62" s="19" t="str">
        <f>IF($A62="","",VLOOKUP($A62,'MG Universe'!$A$2:$R$9994,2))</f>
        <v/>
      </c>
      <c r="C62" s="19" t="str">
        <f>IF($A62="","",VLOOKUP($A62,'MG Universe'!$A$2:$R$9994,3))</f>
        <v/>
      </c>
      <c r="D62" s="19" t="str">
        <f>IF($A62="","",VLOOKUP($A62,'MG Universe'!$A$2:$R$9994,4))</f>
        <v/>
      </c>
      <c r="E62" s="19" t="str">
        <f>IF($A62="","",VLOOKUP($A62,'MG Universe'!$A$2:$R$9994,5))</f>
        <v/>
      </c>
      <c r="F62" s="20" t="str">
        <f>IF($A62="","",VLOOKUP($A62,'MG Universe'!$A$2:$R$9994,6))</f>
        <v/>
      </c>
      <c r="G62" s="22" t="str">
        <f>IF($A62="","",VLOOKUP($A62,'MG Universe'!$A$2:$R$9994,7))</f>
        <v/>
      </c>
      <c r="H62" s="22" t="str">
        <f>IF($A62="","",VLOOKUP($A62,'MG Universe'!$A$2:$R$9994,8))</f>
        <v/>
      </c>
      <c r="I62" s="23" t="str">
        <f>IF($A62="","",VLOOKUP($A62,'MG Universe'!$A$2:$R$9994,9))</f>
        <v/>
      </c>
      <c r="J62" s="19" t="str">
        <f>IF($A62="","",VLOOKUP($A62,'MG Universe'!$A$2:$R$9994,10))</f>
        <v/>
      </c>
      <c r="K62" s="23" t="str">
        <f>IF($A62="","",VLOOKUP($A62,'MG Universe'!$A$2:$R$9994,11))</f>
        <v/>
      </c>
      <c r="L62" s="19" t="str">
        <f>IF($A62="","",VLOOKUP($A62,'MG Universe'!$A$2:$R$9994,12))</f>
        <v/>
      </c>
      <c r="M62" s="19" t="str">
        <f>IF($A62="","",VLOOKUP($A62,'MG Universe'!$A$2:$R$9994,13))</f>
        <v/>
      </c>
      <c r="N62" s="22" t="str">
        <f>IF($A62="","",VLOOKUP($A62,'MG Universe'!$A$2:$R$9994,14))</f>
        <v/>
      </c>
      <c r="O62" s="23" t="str">
        <f>IF($A62="","",VLOOKUP($A62,'MG Universe'!$A$2:$R$9994,15))</f>
        <v/>
      </c>
      <c r="P62" s="19" t="str">
        <f>IF($A62="","",VLOOKUP($A62,'MG Universe'!$A$2:$R$9994,16))</f>
        <v/>
      </c>
      <c r="Q62" s="22" t="str">
        <f>IF($A62="","",VLOOKUP($A62,'MG Universe'!$A$2:$R$9994,17))</f>
        <v/>
      </c>
    </row>
    <row r="63" spans="1:17" x14ac:dyDescent="0.55000000000000004">
      <c r="A63" s="94"/>
      <c r="B63" s="19" t="str">
        <f>IF($A63="","",VLOOKUP($A63,'MG Universe'!$A$2:$R$9994,2))</f>
        <v/>
      </c>
      <c r="C63" s="19" t="str">
        <f>IF($A63="","",VLOOKUP($A63,'MG Universe'!$A$2:$R$9994,3))</f>
        <v/>
      </c>
      <c r="D63" s="19" t="str">
        <f>IF($A63="","",VLOOKUP($A63,'MG Universe'!$A$2:$R$9994,4))</f>
        <v/>
      </c>
      <c r="E63" s="19" t="str">
        <f>IF($A63="","",VLOOKUP($A63,'MG Universe'!$A$2:$R$9994,5))</f>
        <v/>
      </c>
      <c r="F63" s="20" t="str">
        <f>IF($A63="","",VLOOKUP($A63,'MG Universe'!$A$2:$R$9994,6))</f>
        <v/>
      </c>
      <c r="G63" s="22" t="str">
        <f>IF($A63="","",VLOOKUP($A63,'MG Universe'!$A$2:$R$9994,7))</f>
        <v/>
      </c>
      <c r="H63" s="22" t="str">
        <f>IF($A63="","",VLOOKUP($A63,'MG Universe'!$A$2:$R$9994,8))</f>
        <v/>
      </c>
      <c r="I63" s="23" t="str">
        <f>IF($A63="","",VLOOKUP($A63,'MG Universe'!$A$2:$R$9994,9))</f>
        <v/>
      </c>
      <c r="J63" s="19" t="str">
        <f>IF($A63="","",VLOOKUP($A63,'MG Universe'!$A$2:$R$9994,10))</f>
        <v/>
      </c>
      <c r="K63" s="23" t="str">
        <f>IF($A63="","",VLOOKUP($A63,'MG Universe'!$A$2:$R$9994,11))</f>
        <v/>
      </c>
      <c r="L63" s="19" t="str">
        <f>IF($A63="","",VLOOKUP($A63,'MG Universe'!$A$2:$R$9994,12))</f>
        <v/>
      </c>
      <c r="M63" s="19" t="str">
        <f>IF($A63="","",VLOOKUP($A63,'MG Universe'!$A$2:$R$9994,13))</f>
        <v/>
      </c>
      <c r="N63" s="22" t="str">
        <f>IF($A63="","",VLOOKUP($A63,'MG Universe'!$A$2:$R$9994,14))</f>
        <v/>
      </c>
      <c r="O63" s="23" t="str">
        <f>IF($A63="","",VLOOKUP($A63,'MG Universe'!$A$2:$R$9994,15))</f>
        <v/>
      </c>
      <c r="P63" s="19" t="str">
        <f>IF($A63="","",VLOOKUP($A63,'MG Universe'!$A$2:$R$9994,16))</f>
        <v/>
      </c>
      <c r="Q63" s="22" t="str">
        <f>IF($A63="","",VLOOKUP($A63,'MG Universe'!$A$2:$R$9994,17))</f>
        <v/>
      </c>
    </row>
    <row r="64" spans="1:17" x14ac:dyDescent="0.55000000000000004">
      <c r="A64" s="94"/>
      <c r="B64" s="19" t="str">
        <f>IF($A64="","",VLOOKUP($A64,'MG Universe'!$A$2:$R$9994,2))</f>
        <v/>
      </c>
      <c r="C64" s="19" t="str">
        <f>IF($A64="","",VLOOKUP($A64,'MG Universe'!$A$2:$R$9994,3))</f>
        <v/>
      </c>
      <c r="D64" s="19" t="str">
        <f>IF($A64="","",VLOOKUP($A64,'MG Universe'!$A$2:$R$9994,4))</f>
        <v/>
      </c>
      <c r="E64" s="19" t="str">
        <f>IF($A64="","",VLOOKUP($A64,'MG Universe'!$A$2:$R$9994,5))</f>
        <v/>
      </c>
      <c r="F64" s="20" t="str">
        <f>IF($A64="","",VLOOKUP($A64,'MG Universe'!$A$2:$R$9994,6))</f>
        <v/>
      </c>
      <c r="G64" s="22" t="str">
        <f>IF($A64="","",VLOOKUP($A64,'MG Universe'!$A$2:$R$9994,7))</f>
        <v/>
      </c>
      <c r="H64" s="22" t="str">
        <f>IF($A64="","",VLOOKUP($A64,'MG Universe'!$A$2:$R$9994,8))</f>
        <v/>
      </c>
      <c r="I64" s="23" t="str">
        <f>IF($A64="","",VLOOKUP($A64,'MG Universe'!$A$2:$R$9994,9))</f>
        <v/>
      </c>
      <c r="J64" s="19" t="str">
        <f>IF($A64="","",VLOOKUP($A64,'MG Universe'!$A$2:$R$9994,10))</f>
        <v/>
      </c>
      <c r="K64" s="23" t="str">
        <f>IF($A64="","",VLOOKUP($A64,'MG Universe'!$A$2:$R$9994,11))</f>
        <v/>
      </c>
      <c r="L64" s="19" t="str">
        <f>IF($A64="","",VLOOKUP($A64,'MG Universe'!$A$2:$R$9994,12))</f>
        <v/>
      </c>
      <c r="M64" s="19" t="str">
        <f>IF($A64="","",VLOOKUP($A64,'MG Universe'!$A$2:$R$9994,13))</f>
        <v/>
      </c>
      <c r="N64" s="22" t="str">
        <f>IF($A64="","",VLOOKUP($A64,'MG Universe'!$A$2:$R$9994,14))</f>
        <v/>
      </c>
      <c r="O64" s="23" t="str">
        <f>IF($A64="","",VLOOKUP($A64,'MG Universe'!$A$2:$R$9994,15))</f>
        <v/>
      </c>
      <c r="P64" s="19" t="str">
        <f>IF($A64="","",VLOOKUP($A64,'MG Universe'!$A$2:$R$9994,16))</f>
        <v/>
      </c>
      <c r="Q64" s="22" t="str">
        <f>IF($A64="","",VLOOKUP($A64,'MG Universe'!$A$2:$R$9994,17))</f>
        <v/>
      </c>
    </row>
    <row r="65" spans="1:17" x14ac:dyDescent="0.55000000000000004">
      <c r="A65" s="94"/>
      <c r="B65" s="19" t="str">
        <f>IF($A65="","",VLOOKUP($A65,'MG Universe'!$A$2:$R$9994,2))</f>
        <v/>
      </c>
      <c r="C65" s="19" t="str">
        <f>IF($A65="","",VLOOKUP($A65,'MG Universe'!$A$2:$R$9994,3))</f>
        <v/>
      </c>
      <c r="D65" s="19" t="str">
        <f>IF($A65="","",VLOOKUP($A65,'MG Universe'!$A$2:$R$9994,4))</f>
        <v/>
      </c>
      <c r="E65" s="19" t="str">
        <f>IF($A65="","",VLOOKUP($A65,'MG Universe'!$A$2:$R$9994,5))</f>
        <v/>
      </c>
      <c r="F65" s="20" t="str">
        <f>IF($A65="","",VLOOKUP($A65,'MG Universe'!$A$2:$R$9994,6))</f>
        <v/>
      </c>
      <c r="G65" s="22" t="str">
        <f>IF($A65="","",VLOOKUP($A65,'MG Universe'!$A$2:$R$9994,7))</f>
        <v/>
      </c>
      <c r="H65" s="22" t="str">
        <f>IF($A65="","",VLOOKUP($A65,'MG Universe'!$A$2:$R$9994,8))</f>
        <v/>
      </c>
      <c r="I65" s="23" t="str">
        <f>IF($A65="","",VLOOKUP($A65,'MG Universe'!$A$2:$R$9994,9))</f>
        <v/>
      </c>
      <c r="J65" s="19" t="str">
        <f>IF($A65="","",VLOOKUP($A65,'MG Universe'!$A$2:$R$9994,10))</f>
        <v/>
      </c>
      <c r="K65" s="23" t="str">
        <f>IF($A65="","",VLOOKUP($A65,'MG Universe'!$A$2:$R$9994,11))</f>
        <v/>
      </c>
      <c r="L65" s="19" t="str">
        <f>IF($A65="","",VLOOKUP($A65,'MG Universe'!$A$2:$R$9994,12))</f>
        <v/>
      </c>
      <c r="M65" s="19" t="str">
        <f>IF($A65="","",VLOOKUP($A65,'MG Universe'!$A$2:$R$9994,13))</f>
        <v/>
      </c>
      <c r="N65" s="22" t="str">
        <f>IF($A65="","",VLOOKUP($A65,'MG Universe'!$A$2:$R$9994,14))</f>
        <v/>
      </c>
      <c r="O65" s="23" t="str">
        <f>IF($A65="","",VLOOKUP($A65,'MG Universe'!$A$2:$R$9994,15))</f>
        <v/>
      </c>
      <c r="P65" s="19" t="str">
        <f>IF($A65="","",VLOOKUP($A65,'MG Universe'!$A$2:$R$9994,16))</f>
        <v/>
      </c>
      <c r="Q65" s="22" t="str">
        <f>IF($A65="","",VLOOKUP($A65,'MG Universe'!$A$2:$R$9994,17))</f>
        <v/>
      </c>
    </row>
    <row r="66" spans="1:17" x14ac:dyDescent="0.55000000000000004">
      <c r="A66" s="94"/>
      <c r="B66" s="19" t="str">
        <f>IF($A66="","",VLOOKUP($A66,'MG Universe'!$A$2:$R$9994,2))</f>
        <v/>
      </c>
      <c r="C66" s="19" t="str">
        <f>IF($A66="","",VLOOKUP($A66,'MG Universe'!$A$2:$R$9994,3))</f>
        <v/>
      </c>
      <c r="D66" s="19" t="str">
        <f>IF($A66="","",VLOOKUP($A66,'MG Universe'!$A$2:$R$9994,4))</f>
        <v/>
      </c>
      <c r="E66" s="19" t="str">
        <f>IF($A66="","",VLOOKUP($A66,'MG Universe'!$A$2:$R$9994,5))</f>
        <v/>
      </c>
      <c r="F66" s="20" t="str">
        <f>IF($A66="","",VLOOKUP($A66,'MG Universe'!$A$2:$R$9994,6))</f>
        <v/>
      </c>
      <c r="G66" s="22" t="str">
        <f>IF($A66="","",VLOOKUP($A66,'MG Universe'!$A$2:$R$9994,7))</f>
        <v/>
      </c>
      <c r="H66" s="22" t="str">
        <f>IF($A66="","",VLOOKUP($A66,'MG Universe'!$A$2:$R$9994,8))</f>
        <v/>
      </c>
      <c r="I66" s="23" t="str">
        <f>IF($A66="","",VLOOKUP($A66,'MG Universe'!$A$2:$R$9994,9))</f>
        <v/>
      </c>
      <c r="J66" s="19" t="str">
        <f>IF($A66="","",VLOOKUP($A66,'MG Universe'!$A$2:$R$9994,10))</f>
        <v/>
      </c>
      <c r="K66" s="23" t="str">
        <f>IF($A66="","",VLOOKUP($A66,'MG Universe'!$A$2:$R$9994,11))</f>
        <v/>
      </c>
      <c r="L66" s="19" t="str">
        <f>IF($A66="","",VLOOKUP($A66,'MG Universe'!$A$2:$R$9994,12))</f>
        <v/>
      </c>
      <c r="M66" s="19" t="str">
        <f>IF($A66="","",VLOOKUP($A66,'MG Universe'!$A$2:$R$9994,13))</f>
        <v/>
      </c>
      <c r="N66" s="22" t="str">
        <f>IF($A66="","",VLOOKUP($A66,'MG Universe'!$A$2:$R$9994,14))</f>
        <v/>
      </c>
      <c r="O66" s="23" t="str">
        <f>IF($A66="","",VLOOKUP($A66,'MG Universe'!$A$2:$R$9994,15))</f>
        <v/>
      </c>
      <c r="P66" s="19" t="str">
        <f>IF($A66="","",VLOOKUP($A66,'MG Universe'!$A$2:$R$9994,16))</f>
        <v/>
      </c>
      <c r="Q66" s="22" t="str">
        <f>IF($A66="","",VLOOKUP($A66,'MG Universe'!$A$2:$R$9994,17))</f>
        <v/>
      </c>
    </row>
    <row r="67" spans="1:17" x14ac:dyDescent="0.55000000000000004">
      <c r="A67" s="94"/>
      <c r="B67" s="19" t="str">
        <f>IF($A67="","",VLOOKUP($A67,'MG Universe'!$A$2:$R$9994,2))</f>
        <v/>
      </c>
      <c r="C67" s="19" t="str">
        <f>IF($A67="","",VLOOKUP($A67,'MG Universe'!$A$2:$R$9994,3))</f>
        <v/>
      </c>
      <c r="D67" s="19" t="str">
        <f>IF($A67="","",VLOOKUP($A67,'MG Universe'!$A$2:$R$9994,4))</f>
        <v/>
      </c>
      <c r="E67" s="19" t="str">
        <f>IF($A67="","",VLOOKUP($A67,'MG Universe'!$A$2:$R$9994,5))</f>
        <v/>
      </c>
      <c r="F67" s="20" t="str">
        <f>IF($A67="","",VLOOKUP($A67,'MG Universe'!$A$2:$R$9994,6))</f>
        <v/>
      </c>
      <c r="G67" s="22" t="str">
        <f>IF($A67="","",VLOOKUP($A67,'MG Universe'!$A$2:$R$9994,7))</f>
        <v/>
      </c>
      <c r="H67" s="22" t="str">
        <f>IF($A67="","",VLOOKUP($A67,'MG Universe'!$A$2:$R$9994,8))</f>
        <v/>
      </c>
      <c r="I67" s="23" t="str">
        <f>IF($A67="","",VLOOKUP($A67,'MG Universe'!$A$2:$R$9994,9))</f>
        <v/>
      </c>
      <c r="J67" s="19" t="str">
        <f>IF($A67="","",VLOOKUP($A67,'MG Universe'!$A$2:$R$9994,10))</f>
        <v/>
      </c>
      <c r="K67" s="23" t="str">
        <f>IF($A67="","",VLOOKUP($A67,'MG Universe'!$A$2:$R$9994,11))</f>
        <v/>
      </c>
      <c r="L67" s="19" t="str">
        <f>IF($A67="","",VLOOKUP($A67,'MG Universe'!$A$2:$R$9994,12))</f>
        <v/>
      </c>
      <c r="M67" s="19" t="str">
        <f>IF($A67="","",VLOOKUP($A67,'MG Universe'!$A$2:$R$9994,13))</f>
        <v/>
      </c>
      <c r="N67" s="22" t="str">
        <f>IF($A67="","",VLOOKUP($A67,'MG Universe'!$A$2:$R$9994,14))</f>
        <v/>
      </c>
      <c r="O67" s="23" t="str">
        <f>IF($A67="","",VLOOKUP($A67,'MG Universe'!$A$2:$R$9994,15))</f>
        <v/>
      </c>
      <c r="P67" s="19" t="str">
        <f>IF($A67="","",VLOOKUP($A67,'MG Universe'!$A$2:$R$9994,16))</f>
        <v/>
      </c>
      <c r="Q67" s="22" t="str">
        <f>IF($A67="","",VLOOKUP($A67,'MG Universe'!$A$2:$R$9994,17))</f>
        <v/>
      </c>
    </row>
    <row r="68" spans="1:17" x14ac:dyDescent="0.55000000000000004">
      <c r="A68" s="94"/>
      <c r="B68" s="19" t="str">
        <f>IF($A68="","",VLOOKUP($A68,'MG Universe'!$A$2:$R$9994,2))</f>
        <v/>
      </c>
      <c r="C68" s="19" t="str">
        <f>IF($A68="","",VLOOKUP($A68,'MG Universe'!$A$2:$R$9994,3))</f>
        <v/>
      </c>
      <c r="D68" s="19" t="str">
        <f>IF($A68="","",VLOOKUP($A68,'MG Universe'!$A$2:$R$9994,4))</f>
        <v/>
      </c>
      <c r="E68" s="19" t="str">
        <f>IF($A68="","",VLOOKUP($A68,'MG Universe'!$A$2:$R$9994,5))</f>
        <v/>
      </c>
      <c r="F68" s="20" t="str">
        <f>IF($A68="","",VLOOKUP($A68,'MG Universe'!$A$2:$R$9994,6))</f>
        <v/>
      </c>
      <c r="G68" s="22" t="str">
        <f>IF($A68="","",VLOOKUP($A68,'MG Universe'!$A$2:$R$9994,7))</f>
        <v/>
      </c>
      <c r="H68" s="22" t="str">
        <f>IF($A68="","",VLOOKUP($A68,'MG Universe'!$A$2:$R$9994,8))</f>
        <v/>
      </c>
      <c r="I68" s="23" t="str">
        <f>IF($A68="","",VLOOKUP($A68,'MG Universe'!$A$2:$R$9994,9))</f>
        <v/>
      </c>
      <c r="J68" s="19" t="str">
        <f>IF($A68="","",VLOOKUP($A68,'MG Universe'!$A$2:$R$9994,10))</f>
        <v/>
      </c>
      <c r="K68" s="23" t="str">
        <f>IF($A68="","",VLOOKUP($A68,'MG Universe'!$A$2:$R$9994,11))</f>
        <v/>
      </c>
      <c r="L68" s="19" t="str">
        <f>IF($A68="","",VLOOKUP($A68,'MG Universe'!$A$2:$R$9994,12))</f>
        <v/>
      </c>
      <c r="M68" s="19" t="str">
        <f>IF($A68="","",VLOOKUP($A68,'MG Universe'!$A$2:$R$9994,13))</f>
        <v/>
      </c>
      <c r="N68" s="22" t="str">
        <f>IF($A68="","",VLOOKUP($A68,'MG Universe'!$A$2:$R$9994,14))</f>
        <v/>
      </c>
      <c r="O68" s="23" t="str">
        <f>IF($A68="","",VLOOKUP($A68,'MG Universe'!$A$2:$R$9994,15))</f>
        <v/>
      </c>
      <c r="P68" s="19" t="str">
        <f>IF($A68="","",VLOOKUP($A68,'MG Universe'!$A$2:$R$9994,16))</f>
        <v/>
      </c>
      <c r="Q68" s="22" t="str">
        <f>IF($A68="","",VLOOKUP($A68,'MG Universe'!$A$2:$R$9994,17))</f>
        <v/>
      </c>
    </row>
    <row r="69" spans="1:17" x14ac:dyDescent="0.55000000000000004">
      <c r="A69" s="94"/>
      <c r="B69" s="19" t="str">
        <f>IF($A69="","",VLOOKUP($A69,'MG Universe'!$A$2:$R$9994,2))</f>
        <v/>
      </c>
      <c r="C69" s="19" t="str">
        <f>IF($A69="","",VLOOKUP($A69,'MG Universe'!$A$2:$R$9994,3))</f>
        <v/>
      </c>
      <c r="D69" s="19" t="str">
        <f>IF($A69="","",VLOOKUP($A69,'MG Universe'!$A$2:$R$9994,4))</f>
        <v/>
      </c>
      <c r="E69" s="19" t="str">
        <f>IF($A69="","",VLOOKUP($A69,'MG Universe'!$A$2:$R$9994,5))</f>
        <v/>
      </c>
      <c r="F69" s="20" t="str">
        <f>IF($A69="","",VLOOKUP($A69,'MG Universe'!$A$2:$R$9994,6))</f>
        <v/>
      </c>
      <c r="G69" s="22" t="str">
        <f>IF($A69="","",VLOOKUP($A69,'MG Universe'!$A$2:$R$9994,7))</f>
        <v/>
      </c>
      <c r="H69" s="22" t="str">
        <f>IF($A69="","",VLOOKUP($A69,'MG Universe'!$A$2:$R$9994,8))</f>
        <v/>
      </c>
      <c r="I69" s="23" t="str">
        <f>IF($A69="","",VLOOKUP($A69,'MG Universe'!$A$2:$R$9994,9))</f>
        <v/>
      </c>
      <c r="J69" s="19" t="str">
        <f>IF($A69="","",VLOOKUP($A69,'MG Universe'!$A$2:$R$9994,10))</f>
        <v/>
      </c>
      <c r="K69" s="23" t="str">
        <f>IF($A69="","",VLOOKUP($A69,'MG Universe'!$A$2:$R$9994,11))</f>
        <v/>
      </c>
      <c r="L69" s="19" t="str">
        <f>IF($A69="","",VLOOKUP($A69,'MG Universe'!$A$2:$R$9994,12))</f>
        <v/>
      </c>
      <c r="M69" s="19" t="str">
        <f>IF($A69="","",VLOOKUP($A69,'MG Universe'!$A$2:$R$9994,13))</f>
        <v/>
      </c>
      <c r="N69" s="22" t="str">
        <f>IF($A69="","",VLOOKUP($A69,'MG Universe'!$A$2:$R$9994,14))</f>
        <v/>
      </c>
      <c r="O69" s="23" t="str">
        <f>IF($A69="","",VLOOKUP($A69,'MG Universe'!$A$2:$R$9994,15))</f>
        <v/>
      </c>
      <c r="P69" s="19" t="str">
        <f>IF($A69="","",VLOOKUP($A69,'MG Universe'!$A$2:$R$9994,16))</f>
        <v/>
      </c>
      <c r="Q69" s="22" t="str">
        <f>IF($A69="","",VLOOKUP($A69,'MG Universe'!$A$2:$R$9994,17))</f>
        <v/>
      </c>
    </row>
    <row r="70" spans="1:17" x14ac:dyDescent="0.55000000000000004">
      <c r="A70" s="94"/>
      <c r="B70" s="19" t="str">
        <f>IF($A70="","",VLOOKUP($A70,'MG Universe'!$A$2:$R$9994,2))</f>
        <v/>
      </c>
      <c r="C70" s="19" t="str">
        <f>IF($A70="","",VLOOKUP($A70,'MG Universe'!$A$2:$R$9994,3))</f>
        <v/>
      </c>
      <c r="D70" s="19" t="str">
        <f>IF($A70="","",VLOOKUP($A70,'MG Universe'!$A$2:$R$9994,4))</f>
        <v/>
      </c>
      <c r="E70" s="19" t="str">
        <f>IF($A70="","",VLOOKUP($A70,'MG Universe'!$A$2:$R$9994,5))</f>
        <v/>
      </c>
      <c r="F70" s="20" t="str">
        <f>IF($A70="","",VLOOKUP($A70,'MG Universe'!$A$2:$R$9994,6))</f>
        <v/>
      </c>
      <c r="G70" s="22" t="str">
        <f>IF($A70="","",VLOOKUP($A70,'MG Universe'!$A$2:$R$9994,7))</f>
        <v/>
      </c>
      <c r="H70" s="22" t="str">
        <f>IF($A70="","",VLOOKUP($A70,'MG Universe'!$A$2:$R$9994,8))</f>
        <v/>
      </c>
      <c r="I70" s="23" t="str">
        <f>IF($A70="","",VLOOKUP($A70,'MG Universe'!$A$2:$R$9994,9))</f>
        <v/>
      </c>
      <c r="J70" s="19" t="str">
        <f>IF($A70="","",VLOOKUP($A70,'MG Universe'!$A$2:$R$9994,10))</f>
        <v/>
      </c>
      <c r="K70" s="23" t="str">
        <f>IF($A70="","",VLOOKUP($A70,'MG Universe'!$A$2:$R$9994,11))</f>
        <v/>
      </c>
      <c r="L70" s="19" t="str">
        <f>IF($A70="","",VLOOKUP($A70,'MG Universe'!$A$2:$R$9994,12))</f>
        <v/>
      </c>
      <c r="M70" s="19" t="str">
        <f>IF($A70="","",VLOOKUP($A70,'MG Universe'!$A$2:$R$9994,13))</f>
        <v/>
      </c>
      <c r="N70" s="22" t="str">
        <f>IF($A70="","",VLOOKUP($A70,'MG Universe'!$A$2:$R$9994,14))</f>
        <v/>
      </c>
      <c r="O70" s="23" t="str">
        <f>IF($A70="","",VLOOKUP($A70,'MG Universe'!$A$2:$R$9994,15))</f>
        <v/>
      </c>
      <c r="P70" s="19" t="str">
        <f>IF($A70="","",VLOOKUP($A70,'MG Universe'!$A$2:$R$9994,16))</f>
        <v/>
      </c>
      <c r="Q70" s="22" t="str">
        <f>IF($A70="","",VLOOKUP($A70,'MG Universe'!$A$2:$R$9994,17))</f>
        <v/>
      </c>
    </row>
    <row r="71" spans="1:17" x14ac:dyDescent="0.55000000000000004">
      <c r="A71" s="94"/>
      <c r="B71" s="19" t="str">
        <f>IF($A71="","",VLOOKUP($A71,'MG Universe'!$A$2:$R$9994,2))</f>
        <v/>
      </c>
      <c r="C71" s="19" t="str">
        <f>IF($A71="","",VLOOKUP($A71,'MG Universe'!$A$2:$R$9994,3))</f>
        <v/>
      </c>
      <c r="D71" s="19" t="str">
        <f>IF($A71="","",VLOOKUP($A71,'MG Universe'!$A$2:$R$9994,4))</f>
        <v/>
      </c>
      <c r="E71" s="19" t="str">
        <f>IF($A71="","",VLOOKUP($A71,'MG Universe'!$A$2:$R$9994,5))</f>
        <v/>
      </c>
      <c r="F71" s="20" t="str">
        <f>IF($A71="","",VLOOKUP($A71,'MG Universe'!$A$2:$R$9994,6))</f>
        <v/>
      </c>
      <c r="G71" s="22" t="str">
        <f>IF($A71="","",VLOOKUP($A71,'MG Universe'!$A$2:$R$9994,7))</f>
        <v/>
      </c>
      <c r="H71" s="22" t="str">
        <f>IF($A71="","",VLOOKUP($A71,'MG Universe'!$A$2:$R$9994,8))</f>
        <v/>
      </c>
      <c r="I71" s="23" t="str">
        <f>IF($A71="","",VLOOKUP($A71,'MG Universe'!$A$2:$R$9994,9))</f>
        <v/>
      </c>
      <c r="J71" s="19" t="str">
        <f>IF($A71="","",VLOOKUP($A71,'MG Universe'!$A$2:$R$9994,10))</f>
        <v/>
      </c>
      <c r="K71" s="23" t="str">
        <f>IF($A71="","",VLOOKUP($A71,'MG Universe'!$A$2:$R$9994,11))</f>
        <v/>
      </c>
      <c r="L71" s="19" t="str">
        <f>IF($A71="","",VLOOKUP($A71,'MG Universe'!$A$2:$R$9994,12))</f>
        <v/>
      </c>
      <c r="M71" s="19" t="str">
        <f>IF($A71="","",VLOOKUP($A71,'MG Universe'!$A$2:$R$9994,13))</f>
        <v/>
      </c>
      <c r="N71" s="22" t="str">
        <f>IF($A71="","",VLOOKUP($A71,'MG Universe'!$A$2:$R$9994,14))</f>
        <v/>
      </c>
      <c r="O71" s="23" t="str">
        <f>IF($A71="","",VLOOKUP($A71,'MG Universe'!$A$2:$R$9994,15))</f>
        <v/>
      </c>
      <c r="P71" s="19" t="str">
        <f>IF($A71="","",VLOOKUP($A71,'MG Universe'!$A$2:$R$9994,16))</f>
        <v/>
      </c>
      <c r="Q71" s="22" t="str">
        <f>IF($A71="","",VLOOKUP($A71,'MG Universe'!$A$2:$R$9994,17))</f>
        <v/>
      </c>
    </row>
    <row r="72" spans="1:17" x14ac:dyDescent="0.55000000000000004">
      <c r="A72" s="94"/>
      <c r="B72" s="19" t="str">
        <f>IF($A72="","",VLOOKUP($A72,'MG Universe'!$A$2:$R$9994,2))</f>
        <v/>
      </c>
      <c r="C72" s="19" t="str">
        <f>IF($A72="","",VLOOKUP($A72,'MG Universe'!$A$2:$R$9994,3))</f>
        <v/>
      </c>
      <c r="D72" s="19" t="str">
        <f>IF($A72="","",VLOOKUP($A72,'MG Universe'!$A$2:$R$9994,4))</f>
        <v/>
      </c>
      <c r="E72" s="19" t="str">
        <f>IF($A72="","",VLOOKUP($A72,'MG Universe'!$A$2:$R$9994,5))</f>
        <v/>
      </c>
      <c r="F72" s="20" t="str">
        <f>IF($A72="","",VLOOKUP($A72,'MG Universe'!$A$2:$R$9994,6))</f>
        <v/>
      </c>
      <c r="G72" s="22" t="str">
        <f>IF($A72="","",VLOOKUP($A72,'MG Universe'!$A$2:$R$9994,7))</f>
        <v/>
      </c>
      <c r="H72" s="22" t="str">
        <f>IF($A72="","",VLOOKUP($A72,'MG Universe'!$A$2:$R$9994,8))</f>
        <v/>
      </c>
      <c r="I72" s="23" t="str">
        <f>IF($A72="","",VLOOKUP($A72,'MG Universe'!$A$2:$R$9994,9))</f>
        <v/>
      </c>
      <c r="J72" s="19" t="str">
        <f>IF($A72="","",VLOOKUP($A72,'MG Universe'!$A$2:$R$9994,10))</f>
        <v/>
      </c>
      <c r="K72" s="23" t="str">
        <f>IF($A72="","",VLOOKUP($A72,'MG Universe'!$A$2:$R$9994,11))</f>
        <v/>
      </c>
      <c r="L72" s="19" t="str">
        <f>IF($A72="","",VLOOKUP($A72,'MG Universe'!$A$2:$R$9994,12))</f>
        <v/>
      </c>
      <c r="M72" s="19" t="str">
        <f>IF($A72="","",VLOOKUP($A72,'MG Universe'!$A$2:$R$9994,13))</f>
        <v/>
      </c>
      <c r="N72" s="22" t="str">
        <f>IF($A72="","",VLOOKUP($A72,'MG Universe'!$A$2:$R$9994,14))</f>
        <v/>
      </c>
      <c r="O72" s="23" t="str">
        <f>IF($A72="","",VLOOKUP($A72,'MG Universe'!$A$2:$R$9994,15))</f>
        <v/>
      </c>
      <c r="P72" s="19" t="str">
        <f>IF($A72="","",VLOOKUP($A72,'MG Universe'!$A$2:$R$9994,16))</f>
        <v/>
      </c>
      <c r="Q72" s="22" t="str">
        <f>IF($A72="","",VLOOKUP($A72,'MG Universe'!$A$2:$R$9994,17))</f>
        <v/>
      </c>
    </row>
    <row r="73" spans="1:17" x14ac:dyDescent="0.55000000000000004">
      <c r="A73" s="94"/>
      <c r="B73" s="19" t="str">
        <f>IF($A73="","",VLOOKUP($A73,'MG Universe'!$A$2:$R$9994,2))</f>
        <v/>
      </c>
      <c r="C73" s="19" t="str">
        <f>IF($A73="","",VLOOKUP($A73,'MG Universe'!$A$2:$R$9994,3))</f>
        <v/>
      </c>
      <c r="D73" s="19" t="str">
        <f>IF($A73="","",VLOOKUP($A73,'MG Universe'!$A$2:$R$9994,4))</f>
        <v/>
      </c>
      <c r="E73" s="19" t="str">
        <f>IF($A73="","",VLOOKUP($A73,'MG Universe'!$A$2:$R$9994,5))</f>
        <v/>
      </c>
      <c r="F73" s="20" t="str">
        <f>IF($A73="","",VLOOKUP($A73,'MG Universe'!$A$2:$R$9994,6))</f>
        <v/>
      </c>
      <c r="G73" s="22" t="str">
        <f>IF($A73="","",VLOOKUP($A73,'MG Universe'!$A$2:$R$9994,7))</f>
        <v/>
      </c>
      <c r="H73" s="22" t="str">
        <f>IF($A73="","",VLOOKUP($A73,'MG Universe'!$A$2:$R$9994,8))</f>
        <v/>
      </c>
      <c r="I73" s="23" t="str">
        <f>IF($A73="","",VLOOKUP($A73,'MG Universe'!$A$2:$R$9994,9))</f>
        <v/>
      </c>
      <c r="J73" s="19" t="str">
        <f>IF($A73="","",VLOOKUP($A73,'MG Universe'!$A$2:$R$9994,10))</f>
        <v/>
      </c>
      <c r="K73" s="23" t="str">
        <f>IF($A73="","",VLOOKUP($A73,'MG Universe'!$A$2:$R$9994,11))</f>
        <v/>
      </c>
      <c r="L73" s="19" t="str">
        <f>IF($A73="","",VLOOKUP($A73,'MG Universe'!$A$2:$R$9994,12))</f>
        <v/>
      </c>
      <c r="M73" s="19" t="str">
        <f>IF($A73="","",VLOOKUP($A73,'MG Universe'!$A$2:$R$9994,13))</f>
        <v/>
      </c>
      <c r="N73" s="22" t="str">
        <f>IF($A73="","",VLOOKUP($A73,'MG Universe'!$A$2:$R$9994,14))</f>
        <v/>
      </c>
      <c r="O73" s="23" t="str">
        <f>IF($A73="","",VLOOKUP($A73,'MG Universe'!$A$2:$R$9994,15))</f>
        <v/>
      </c>
      <c r="P73" s="19" t="str">
        <f>IF($A73="","",VLOOKUP($A73,'MG Universe'!$A$2:$R$9994,16))</f>
        <v/>
      </c>
      <c r="Q73" s="22" t="str">
        <f>IF($A73="","",VLOOKUP($A73,'MG Universe'!$A$2:$R$9994,17))</f>
        <v/>
      </c>
    </row>
    <row r="74" spans="1:17" x14ac:dyDescent="0.55000000000000004">
      <c r="A74" s="94"/>
      <c r="B74" s="19" t="str">
        <f>IF($A74="","",VLOOKUP($A74,'MG Universe'!$A$2:$R$9994,2))</f>
        <v/>
      </c>
      <c r="C74" s="19" t="str">
        <f>IF($A74="","",VLOOKUP($A74,'MG Universe'!$A$2:$R$9994,3))</f>
        <v/>
      </c>
      <c r="D74" s="19" t="str">
        <f>IF($A74="","",VLOOKUP($A74,'MG Universe'!$A$2:$R$9994,4))</f>
        <v/>
      </c>
      <c r="E74" s="19" t="str">
        <f>IF($A74="","",VLOOKUP($A74,'MG Universe'!$A$2:$R$9994,5))</f>
        <v/>
      </c>
      <c r="F74" s="20" t="str">
        <f>IF($A74="","",VLOOKUP($A74,'MG Universe'!$A$2:$R$9994,6))</f>
        <v/>
      </c>
      <c r="G74" s="22" t="str">
        <f>IF($A74="","",VLOOKUP($A74,'MG Universe'!$A$2:$R$9994,7))</f>
        <v/>
      </c>
      <c r="H74" s="22" t="str">
        <f>IF($A74="","",VLOOKUP($A74,'MG Universe'!$A$2:$R$9994,8))</f>
        <v/>
      </c>
      <c r="I74" s="23" t="str">
        <f>IF($A74="","",VLOOKUP($A74,'MG Universe'!$A$2:$R$9994,9))</f>
        <v/>
      </c>
      <c r="J74" s="19" t="str">
        <f>IF($A74="","",VLOOKUP($A74,'MG Universe'!$A$2:$R$9994,10))</f>
        <v/>
      </c>
      <c r="K74" s="23" t="str">
        <f>IF($A74="","",VLOOKUP($A74,'MG Universe'!$A$2:$R$9994,11))</f>
        <v/>
      </c>
      <c r="L74" s="19" t="str">
        <f>IF($A74="","",VLOOKUP($A74,'MG Universe'!$A$2:$R$9994,12))</f>
        <v/>
      </c>
      <c r="M74" s="19" t="str">
        <f>IF($A74="","",VLOOKUP($A74,'MG Universe'!$A$2:$R$9994,13))</f>
        <v/>
      </c>
      <c r="N74" s="22" t="str">
        <f>IF($A74="","",VLOOKUP($A74,'MG Universe'!$A$2:$R$9994,14))</f>
        <v/>
      </c>
      <c r="O74" s="23" t="str">
        <f>IF($A74="","",VLOOKUP($A74,'MG Universe'!$A$2:$R$9994,15))</f>
        <v/>
      </c>
      <c r="P74" s="19" t="str">
        <f>IF($A74="","",VLOOKUP($A74,'MG Universe'!$A$2:$R$9994,16))</f>
        <v/>
      </c>
      <c r="Q74" s="22" t="str">
        <f>IF($A74="","",VLOOKUP($A74,'MG Universe'!$A$2:$R$9994,17))</f>
        <v/>
      </c>
    </row>
    <row r="75" spans="1:17" x14ac:dyDescent="0.55000000000000004">
      <c r="A75" s="94"/>
      <c r="B75" s="19" t="str">
        <f>IF($A75="","",VLOOKUP($A75,'MG Universe'!$A$2:$R$9994,2))</f>
        <v/>
      </c>
      <c r="C75" s="19" t="str">
        <f>IF($A75="","",VLOOKUP($A75,'MG Universe'!$A$2:$R$9994,3))</f>
        <v/>
      </c>
      <c r="D75" s="19" t="str">
        <f>IF($A75="","",VLOOKUP($A75,'MG Universe'!$A$2:$R$9994,4))</f>
        <v/>
      </c>
      <c r="E75" s="19" t="str">
        <f>IF($A75="","",VLOOKUP($A75,'MG Universe'!$A$2:$R$9994,5))</f>
        <v/>
      </c>
      <c r="F75" s="20" t="str">
        <f>IF($A75="","",VLOOKUP($A75,'MG Universe'!$A$2:$R$9994,6))</f>
        <v/>
      </c>
      <c r="G75" s="22" t="str">
        <f>IF($A75="","",VLOOKUP($A75,'MG Universe'!$A$2:$R$9994,7))</f>
        <v/>
      </c>
      <c r="H75" s="22" t="str">
        <f>IF($A75="","",VLOOKUP($A75,'MG Universe'!$A$2:$R$9994,8))</f>
        <v/>
      </c>
      <c r="I75" s="23" t="str">
        <f>IF($A75="","",VLOOKUP($A75,'MG Universe'!$A$2:$R$9994,9))</f>
        <v/>
      </c>
      <c r="J75" s="19" t="str">
        <f>IF($A75="","",VLOOKUP($A75,'MG Universe'!$A$2:$R$9994,10))</f>
        <v/>
      </c>
      <c r="K75" s="23" t="str">
        <f>IF($A75="","",VLOOKUP($A75,'MG Universe'!$A$2:$R$9994,11))</f>
        <v/>
      </c>
      <c r="L75" s="19" t="str">
        <f>IF($A75="","",VLOOKUP($A75,'MG Universe'!$A$2:$R$9994,12))</f>
        <v/>
      </c>
      <c r="M75" s="19" t="str">
        <f>IF($A75="","",VLOOKUP($A75,'MG Universe'!$A$2:$R$9994,13))</f>
        <v/>
      </c>
      <c r="N75" s="22" t="str">
        <f>IF($A75="","",VLOOKUP($A75,'MG Universe'!$A$2:$R$9994,14))</f>
        <v/>
      </c>
      <c r="O75" s="23" t="str">
        <f>IF($A75="","",VLOOKUP($A75,'MG Universe'!$A$2:$R$9994,15))</f>
        <v/>
      </c>
      <c r="P75" s="19" t="str">
        <f>IF($A75="","",VLOOKUP($A75,'MG Universe'!$A$2:$R$9994,16))</f>
        <v/>
      </c>
      <c r="Q75" s="22" t="str">
        <f>IF($A75="","",VLOOKUP($A75,'MG Universe'!$A$2:$R$9994,17))</f>
        <v/>
      </c>
    </row>
    <row r="76" spans="1:17" x14ac:dyDescent="0.55000000000000004">
      <c r="A76" s="94"/>
      <c r="B76" s="19" t="str">
        <f>IF($A76="","",VLOOKUP($A76,'MG Universe'!$A$2:$R$9994,2))</f>
        <v/>
      </c>
      <c r="C76" s="19" t="str">
        <f>IF($A76="","",VLOOKUP($A76,'MG Universe'!$A$2:$R$9994,3))</f>
        <v/>
      </c>
      <c r="D76" s="19" t="str">
        <f>IF($A76="","",VLOOKUP($A76,'MG Universe'!$A$2:$R$9994,4))</f>
        <v/>
      </c>
      <c r="E76" s="19" t="str">
        <f>IF($A76="","",VLOOKUP($A76,'MG Universe'!$A$2:$R$9994,5))</f>
        <v/>
      </c>
      <c r="F76" s="20" t="str">
        <f>IF($A76="","",VLOOKUP($A76,'MG Universe'!$A$2:$R$9994,6))</f>
        <v/>
      </c>
      <c r="G76" s="22" t="str">
        <f>IF($A76="","",VLOOKUP($A76,'MG Universe'!$A$2:$R$9994,7))</f>
        <v/>
      </c>
      <c r="H76" s="22" t="str">
        <f>IF($A76="","",VLOOKUP($A76,'MG Universe'!$A$2:$R$9994,8))</f>
        <v/>
      </c>
      <c r="I76" s="23" t="str">
        <f>IF($A76="","",VLOOKUP($A76,'MG Universe'!$A$2:$R$9994,9))</f>
        <v/>
      </c>
      <c r="J76" s="19" t="str">
        <f>IF($A76="","",VLOOKUP($A76,'MG Universe'!$A$2:$R$9994,10))</f>
        <v/>
      </c>
      <c r="K76" s="23" t="str">
        <f>IF($A76="","",VLOOKUP($A76,'MG Universe'!$A$2:$R$9994,11))</f>
        <v/>
      </c>
      <c r="L76" s="19" t="str">
        <f>IF($A76="","",VLOOKUP($A76,'MG Universe'!$A$2:$R$9994,12))</f>
        <v/>
      </c>
      <c r="M76" s="19" t="str">
        <f>IF($A76="","",VLOOKUP($A76,'MG Universe'!$A$2:$R$9994,13))</f>
        <v/>
      </c>
      <c r="N76" s="22" t="str">
        <f>IF($A76="","",VLOOKUP($A76,'MG Universe'!$A$2:$R$9994,14))</f>
        <v/>
      </c>
      <c r="O76" s="23" t="str">
        <f>IF($A76="","",VLOOKUP($A76,'MG Universe'!$A$2:$R$9994,15))</f>
        <v/>
      </c>
      <c r="P76" s="19" t="str">
        <f>IF($A76="","",VLOOKUP($A76,'MG Universe'!$A$2:$R$9994,16))</f>
        <v/>
      </c>
      <c r="Q76" s="22" t="str">
        <f>IF($A76="","",VLOOKUP($A76,'MG Universe'!$A$2:$R$9994,17))</f>
        <v/>
      </c>
    </row>
    <row r="77" spans="1:17" x14ac:dyDescent="0.55000000000000004">
      <c r="A77" s="94"/>
      <c r="B77" s="19" t="str">
        <f>IF($A77="","",VLOOKUP($A77,'MG Universe'!$A$2:$R$9994,2))</f>
        <v/>
      </c>
      <c r="C77" s="19" t="str">
        <f>IF($A77="","",VLOOKUP($A77,'MG Universe'!$A$2:$R$9994,3))</f>
        <v/>
      </c>
      <c r="D77" s="19" t="str">
        <f>IF($A77="","",VLOOKUP($A77,'MG Universe'!$A$2:$R$9994,4))</f>
        <v/>
      </c>
      <c r="E77" s="19" t="str">
        <f>IF($A77="","",VLOOKUP($A77,'MG Universe'!$A$2:$R$9994,5))</f>
        <v/>
      </c>
      <c r="F77" s="20" t="str">
        <f>IF($A77="","",VLOOKUP($A77,'MG Universe'!$A$2:$R$9994,6))</f>
        <v/>
      </c>
      <c r="G77" s="22" t="str">
        <f>IF($A77="","",VLOOKUP($A77,'MG Universe'!$A$2:$R$9994,7))</f>
        <v/>
      </c>
      <c r="H77" s="22" t="str">
        <f>IF($A77="","",VLOOKUP($A77,'MG Universe'!$A$2:$R$9994,8))</f>
        <v/>
      </c>
      <c r="I77" s="23" t="str">
        <f>IF($A77="","",VLOOKUP($A77,'MG Universe'!$A$2:$R$9994,9))</f>
        <v/>
      </c>
      <c r="J77" s="19" t="str">
        <f>IF($A77="","",VLOOKUP($A77,'MG Universe'!$A$2:$R$9994,10))</f>
        <v/>
      </c>
      <c r="K77" s="23" t="str">
        <f>IF($A77="","",VLOOKUP($A77,'MG Universe'!$A$2:$R$9994,11))</f>
        <v/>
      </c>
      <c r="L77" s="19" t="str">
        <f>IF($A77="","",VLOOKUP($A77,'MG Universe'!$A$2:$R$9994,12))</f>
        <v/>
      </c>
      <c r="M77" s="19" t="str">
        <f>IF($A77="","",VLOOKUP($A77,'MG Universe'!$A$2:$R$9994,13))</f>
        <v/>
      </c>
      <c r="N77" s="22" t="str">
        <f>IF($A77="","",VLOOKUP($A77,'MG Universe'!$A$2:$R$9994,14))</f>
        <v/>
      </c>
      <c r="O77" s="23" t="str">
        <f>IF($A77="","",VLOOKUP($A77,'MG Universe'!$A$2:$R$9994,15))</f>
        <v/>
      </c>
      <c r="P77" s="19" t="str">
        <f>IF($A77="","",VLOOKUP($A77,'MG Universe'!$A$2:$R$9994,16))</f>
        <v/>
      </c>
      <c r="Q77" s="22" t="str">
        <f>IF($A77="","",VLOOKUP($A77,'MG Universe'!$A$2:$R$9994,17))</f>
        <v/>
      </c>
    </row>
    <row r="78" spans="1:17" x14ac:dyDescent="0.55000000000000004">
      <c r="A78" s="94"/>
      <c r="B78" s="19" t="str">
        <f>IF($A78="","",VLOOKUP($A78,'MG Universe'!$A$2:$R$9994,2))</f>
        <v/>
      </c>
      <c r="C78" s="19" t="str">
        <f>IF($A78="","",VLOOKUP($A78,'MG Universe'!$A$2:$R$9994,3))</f>
        <v/>
      </c>
      <c r="D78" s="19" t="str">
        <f>IF($A78="","",VLOOKUP($A78,'MG Universe'!$A$2:$R$9994,4))</f>
        <v/>
      </c>
      <c r="E78" s="19" t="str">
        <f>IF($A78="","",VLOOKUP($A78,'MG Universe'!$A$2:$R$9994,5))</f>
        <v/>
      </c>
      <c r="F78" s="20" t="str">
        <f>IF($A78="","",VLOOKUP($A78,'MG Universe'!$A$2:$R$9994,6))</f>
        <v/>
      </c>
      <c r="G78" s="22" t="str">
        <f>IF($A78="","",VLOOKUP($A78,'MG Universe'!$A$2:$R$9994,7))</f>
        <v/>
      </c>
      <c r="H78" s="22" t="str">
        <f>IF($A78="","",VLOOKUP($A78,'MG Universe'!$A$2:$R$9994,8))</f>
        <v/>
      </c>
      <c r="I78" s="23" t="str">
        <f>IF($A78="","",VLOOKUP($A78,'MG Universe'!$A$2:$R$9994,9))</f>
        <v/>
      </c>
      <c r="J78" s="19" t="str">
        <f>IF($A78="","",VLOOKUP($A78,'MG Universe'!$A$2:$R$9994,10))</f>
        <v/>
      </c>
      <c r="K78" s="23" t="str">
        <f>IF($A78="","",VLOOKUP($A78,'MG Universe'!$A$2:$R$9994,11))</f>
        <v/>
      </c>
      <c r="L78" s="19" t="str">
        <f>IF($A78="","",VLOOKUP($A78,'MG Universe'!$A$2:$R$9994,12))</f>
        <v/>
      </c>
      <c r="M78" s="19" t="str">
        <f>IF($A78="","",VLOOKUP($A78,'MG Universe'!$A$2:$R$9994,13))</f>
        <v/>
      </c>
      <c r="N78" s="22" t="str">
        <f>IF($A78="","",VLOOKUP($A78,'MG Universe'!$A$2:$R$9994,14))</f>
        <v/>
      </c>
      <c r="O78" s="23" t="str">
        <f>IF($A78="","",VLOOKUP($A78,'MG Universe'!$A$2:$R$9994,15))</f>
        <v/>
      </c>
      <c r="P78" s="19" t="str">
        <f>IF($A78="","",VLOOKUP($A78,'MG Universe'!$A$2:$R$9994,16))</f>
        <v/>
      </c>
      <c r="Q78" s="22" t="str">
        <f>IF($A78="","",VLOOKUP($A78,'MG Universe'!$A$2:$R$9994,17))</f>
        <v/>
      </c>
    </row>
    <row r="79" spans="1:17" x14ac:dyDescent="0.55000000000000004">
      <c r="A79" s="94"/>
      <c r="B79" s="19" t="str">
        <f>IF($A79="","",VLOOKUP($A79,'MG Universe'!$A$2:$R$9994,2))</f>
        <v/>
      </c>
      <c r="C79" s="19" t="str">
        <f>IF($A79="","",VLOOKUP($A79,'MG Universe'!$A$2:$R$9994,3))</f>
        <v/>
      </c>
      <c r="D79" s="19" t="str">
        <f>IF($A79="","",VLOOKUP($A79,'MG Universe'!$A$2:$R$9994,4))</f>
        <v/>
      </c>
      <c r="E79" s="19" t="str">
        <f>IF($A79="","",VLOOKUP($A79,'MG Universe'!$A$2:$R$9994,5))</f>
        <v/>
      </c>
      <c r="F79" s="20" t="str">
        <f>IF($A79="","",VLOOKUP($A79,'MG Universe'!$A$2:$R$9994,6))</f>
        <v/>
      </c>
      <c r="G79" s="22" t="str">
        <f>IF($A79="","",VLOOKUP($A79,'MG Universe'!$A$2:$R$9994,7))</f>
        <v/>
      </c>
      <c r="H79" s="22" t="str">
        <f>IF($A79="","",VLOOKUP($A79,'MG Universe'!$A$2:$R$9994,8))</f>
        <v/>
      </c>
      <c r="I79" s="23" t="str">
        <f>IF($A79="","",VLOOKUP($A79,'MG Universe'!$A$2:$R$9994,9))</f>
        <v/>
      </c>
      <c r="J79" s="19" t="str">
        <f>IF($A79="","",VLOOKUP($A79,'MG Universe'!$A$2:$R$9994,10))</f>
        <v/>
      </c>
      <c r="K79" s="23" t="str">
        <f>IF($A79="","",VLOOKUP($A79,'MG Universe'!$A$2:$R$9994,11))</f>
        <v/>
      </c>
      <c r="L79" s="19" t="str">
        <f>IF($A79="","",VLOOKUP($A79,'MG Universe'!$A$2:$R$9994,12))</f>
        <v/>
      </c>
      <c r="M79" s="19" t="str">
        <f>IF($A79="","",VLOOKUP($A79,'MG Universe'!$A$2:$R$9994,13))</f>
        <v/>
      </c>
      <c r="N79" s="22" t="str">
        <f>IF($A79="","",VLOOKUP($A79,'MG Universe'!$A$2:$R$9994,14))</f>
        <v/>
      </c>
      <c r="O79" s="23" t="str">
        <f>IF($A79="","",VLOOKUP($A79,'MG Universe'!$A$2:$R$9994,15))</f>
        <v/>
      </c>
      <c r="P79" s="19" t="str">
        <f>IF($A79="","",VLOOKUP($A79,'MG Universe'!$A$2:$R$9994,16))</f>
        <v/>
      </c>
      <c r="Q79" s="22" t="str">
        <f>IF($A79="","",VLOOKUP($A79,'MG Universe'!$A$2:$R$9994,17))</f>
        <v/>
      </c>
    </row>
    <row r="80" spans="1:17" x14ac:dyDescent="0.55000000000000004">
      <c r="A80" s="94"/>
      <c r="B80" s="19" t="str">
        <f>IF($A80="","",VLOOKUP($A80,'MG Universe'!$A$2:$R$9994,2))</f>
        <v/>
      </c>
      <c r="C80" s="19" t="str">
        <f>IF($A80="","",VLOOKUP($A80,'MG Universe'!$A$2:$R$9994,3))</f>
        <v/>
      </c>
      <c r="D80" s="19" t="str">
        <f>IF($A80="","",VLOOKUP($A80,'MG Universe'!$A$2:$R$9994,4))</f>
        <v/>
      </c>
      <c r="E80" s="19" t="str">
        <f>IF($A80="","",VLOOKUP($A80,'MG Universe'!$A$2:$R$9994,5))</f>
        <v/>
      </c>
      <c r="F80" s="20" t="str">
        <f>IF($A80="","",VLOOKUP($A80,'MG Universe'!$A$2:$R$9994,6))</f>
        <v/>
      </c>
      <c r="G80" s="22" t="str">
        <f>IF($A80="","",VLOOKUP($A80,'MG Universe'!$A$2:$R$9994,7))</f>
        <v/>
      </c>
      <c r="H80" s="22" t="str">
        <f>IF($A80="","",VLOOKUP($A80,'MG Universe'!$A$2:$R$9994,8))</f>
        <v/>
      </c>
      <c r="I80" s="23" t="str">
        <f>IF($A80="","",VLOOKUP($A80,'MG Universe'!$A$2:$R$9994,9))</f>
        <v/>
      </c>
      <c r="J80" s="19" t="str">
        <f>IF($A80="","",VLOOKUP($A80,'MG Universe'!$A$2:$R$9994,10))</f>
        <v/>
      </c>
      <c r="K80" s="23" t="str">
        <f>IF($A80="","",VLOOKUP($A80,'MG Universe'!$A$2:$R$9994,11))</f>
        <v/>
      </c>
      <c r="L80" s="19" t="str">
        <f>IF($A80="","",VLOOKUP($A80,'MG Universe'!$A$2:$R$9994,12))</f>
        <v/>
      </c>
      <c r="M80" s="19" t="str">
        <f>IF($A80="","",VLOOKUP($A80,'MG Universe'!$A$2:$R$9994,13))</f>
        <v/>
      </c>
      <c r="N80" s="22" t="str">
        <f>IF($A80="","",VLOOKUP($A80,'MG Universe'!$A$2:$R$9994,14))</f>
        <v/>
      </c>
      <c r="O80" s="23" t="str">
        <f>IF($A80="","",VLOOKUP($A80,'MG Universe'!$A$2:$R$9994,15))</f>
        <v/>
      </c>
      <c r="P80" s="19" t="str">
        <f>IF($A80="","",VLOOKUP($A80,'MG Universe'!$A$2:$R$9994,16))</f>
        <v/>
      </c>
      <c r="Q80" s="22" t="str">
        <f>IF($A80="","",VLOOKUP($A80,'MG Universe'!$A$2:$R$9994,17))</f>
        <v/>
      </c>
    </row>
    <row r="81" spans="1:17" x14ac:dyDescent="0.55000000000000004">
      <c r="A81" s="94"/>
      <c r="B81" s="19" t="str">
        <f>IF($A81="","",VLOOKUP($A81,'MG Universe'!$A$2:$R$9994,2))</f>
        <v/>
      </c>
      <c r="C81" s="19" t="str">
        <f>IF($A81="","",VLOOKUP($A81,'MG Universe'!$A$2:$R$9994,3))</f>
        <v/>
      </c>
      <c r="D81" s="19" t="str">
        <f>IF($A81="","",VLOOKUP($A81,'MG Universe'!$A$2:$R$9994,4))</f>
        <v/>
      </c>
      <c r="E81" s="19" t="str">
        <f>IF($A81="","",VLOOKUP($A81,'MG Universe'!$A$2:$R$9994,5))</f>
        <v/>
      </c>
      <c r="F81" s="20" t="str">
        <f>IF($A81="","",VLOOKUP($A81,'MG Universe'!$A$2:$R$9994,6))</f>
        <v/>
      </c>
      <c r="G81" s="22" t="str">
        <f>IF($A81="","",VLOOKUP($A81,'MG Universe'!$A$2:$R$9994,7))</f>
        <v/>
      </c>
      <c r="H81" s="22" t="str">
        <f>IF($A81="","",VLOOKUP($A81,'MG Universe'!$A$2:$R$9994,8))</f>
        <v/>
      </c>
      <c r="I81" s="23" t="str">
        <f>IF($A81="","",VLOOKUP($A81,'MG Universe'!$A$2:$R$9994,9))</f>
        <v/>
      </c>
      <c r="J81" s="19" t="str">
        <f>IF($A81="","",VLOOKUP($A81,'MG Universe'!$A$2:$R$9994,10))</f>
        <v/>
      </c>
      <c r="K81" s="23" t="str">
        <f>IF($A81="","",VLOOKUP($A81,'MG Universe'!$A$2:$R$9994,11))</f>
        <v/>
      </c>
      <c r="L81" s="19" t="str">
        <f>IF($A81="","",VLOOKUP($A81,'MG Universe'!$A$2:$R$9994,12))</f>
        <v/>
      </c>
      <c r="M81" s="19" t="str">
        <f>IF($A81="","",VLOOKUP($A81,'MG Universe'!$A$2:$R$9994,13))</f>
        <v/>
      </c>
      <c r="N81" s="22" t="str">
        <f>IF($A81="","",VLOOKUP($A81,'MG Universe'!$A$2:$R$9994,14))</f>
        <v/>
      </c>
      <c r="O81" s="23" t="str">
        <f>IF($A81="","",VLOOKUP($A81,'MG Universe'!$A$2:$R$9994,15))</f>
        <v/>
      </c>
      <c r="P81" s="19" t="str">
        <f>IF($A81="","",VLOOKUP($A81,'MG Universe'!$A$2:$R$9994,16))</f>
        <v/>
      </c>
      <c r="Q81" s="22" t="str">
        <f>IF($A81="","",VLOOKUP($A81,'MG Universe'!$A$2:$R$9994,17))</f>
        <v/>
      </c>
    </row>
    <row r="82" spans="1:17" x14ac:dyDescent="0.55000000000000004">
      <c r="A82" s="94"/>
      <c r="B82" s="19" t="str">
        <f>IF($A82="","",VLOOKUP($A82,'MG Universe'!$A$2:$R$9994,2))</f>
        <v/>
      </c>
      <c r="C82" s="19" t="str">
        <f>IF($A82="","",VLOOKUP($A82,'MG Universe'!$A$2:$R$9994,3))</f>
        <v/>
      </c>
      <c r="D82" s="19" t="str">
        <f>IF($A82="","",VLOOKUP($A82,'MG Universe'!$A$2:$R$9994,4))</f>
        <v/>
      </c>
      <c r="E82" s="19" t="str">
        <f>IF($A82="","",VLOOKUP($A82,'MG Universe'!$A$2:$R$9994,5))</f>
        <v/>
      </c>
      <c r="F82" s="20" t="str">
        <f>IF($A82="","",VLOOKUP($A82,'MG Universe'!$A$2:$R$9994,6))</f>
        <v/>
      </c>
      <c r="G82" s="22" t="str">
        <f>IF($A82="","",VLOOKUP($A82,'MG Universe'!$A$2:$R$9994,7))</f>
        <v/>
      </c>
      <c r="H82" s="22" t="str">
        <f>IF($A82="","",VLOOKUP($A82,'MG Universe'!$A$2:$R$9994,8))</f>
        <v/>
      </c>
      <c r="I82" s="23" t="str">
        <f>IF($A82="","",VLOOKUP($A82,'MG Universe'!$A$2:$R$9994,9))</f>
        <v/>
      </c>
      <c r="J82" s="19" t="str">
        <f>IF($A82="","",VLOOKUP($A82,'MG Universe'!$A$2:$R$9994,10))</f>
        <v/>
      </c>
      <c r="K82" s="23" t="str">
        <f>IF($A82="","",VLOOKUP($A82,'MG Universe'!$A$2:$R$9994,11))</f>
        <v/>
      </c>
      <c r="L82" s="19" t="str">
        <f>IF($A82="","",VLOOKUP($A82,'MG Universe'!$A$2:$R$9994,12))</f>
        <v/>
      </c>
      <c r="M82" s="19" t="str">
        <f>IF($A82="","",VLOOKUP($A82,'MG Universe'!$A$2:$R$9994,13))</f>
        <v/>
      </c>
      <c r="N82" s="22" t="str">
        <f>IF($A82="","",VLOOKUP($A82,'MG Universe'!$A$2:$R$9994,14))</f>
        <v/>
      </c>
      <c r="O82" s="23" t="str">
        <f>IF($A82="","",VLOOKUP($A82,'MG Universe'!$A$2:$R$9994,15))</f>
        <v/>
      </c>
      <c r="P82" s="19" t="str">
        <f>IF($A82="","",VLOOKUP($A82,'MG Universe'!$A$2:$R$9994,16))</f>
        <v/>
      </c>
      <c r="Q82" s="22" t="str">
        <f>IF($A82="","",VLOOKUP($A82,'MG Universe'!$A$2:$R$9994,17))</f>
        <v/>
      </c>
    </row>
    <row r="83" spans="1:17" x14ac:dyDescent="0.55000000000000004">
      <c r="A83" s="94"/>
      <c r="B83" s="19" t="str">
        <f>IF($A83="","",VLOOKUP($A83,'MG Universe'!$A$2:$R$9994,2))</f>
        <v/>
      </c>
      <c r="C83" s="19" t="str">
        <f>IF($A83="","",VLOOKUP($A83,'MG Universe'!$A$2:$R$9994,3))</f>
        <v/>
      </c>
      <c r="D83" s="19" t="str">
        <f>IF($A83="","",VLOOKUP($A83,'MG Universe'!$A$2:$R$9994,4))</f>
        <v/>
      </c>
      <c r="E83" s="19" t="str">
        <f>IF($A83="","",VLOOKUP($A83,'MG Universe'!$A$2:$R$9994,5))</f>
        <v/>
      </c>
      <c r="F83" s="20" t="str">
        <f>IF($A83="","",VLOOKUP($A83,'MG Universe'!$A$2:$R$9994,6))</f>
        <v/>
      </c>
      <c r="G83" s="22" t="str">
        <f>IF($A83="","",VLOOKUP($A83,'MG Universe'!$A$2:$R$9994,7))</f>
        <v/>
      </c>
      <c r="H83" s="22" t="str">
        <f>IF($A83="","",VLOOKUP($A83,'MG Universe'!$A$2:$R$9994,8))</f>
        <v/>
      </c>
      <c r="I83" s="23" t="str">
        <f>IF($A83="","",VLOOKUP($A83,'MG Universe'!$A$2:$R$9994,9))</f>
        <v/>
      </c>
      <c r="J83" s="19" t="str">
        <f>IF($A83="","",VLOOKUP($A83,'MG Universe'!$A$2:$R$9994,10))</f>
        <v/>
      </c>
      <c r="K83" s="23" t="str">
        <f>IF($A83="","",VLOOKUP($A83,'MG Universe'!$A$2:$R$9994,11))</f>
        <v/>
      </c>
      <c r="L83" s="19" t="str">
        <f>IF($A83="","",VLOOKUP($A83,'MG Universe'!$A$2:$R$9994,12))</f>
        <v/>
      </c>
      <c r="M83" s="19" t="str">
        <f>IF($A83="","",VLOOKUP($A83,'MG Universe'!$A$2:$R$9994,13))</f>
        <v/>
      </c>
      <c r="N83" s="22" t="str">
        <f>IF($A83="","",VLOOKUP($A83,'MG Universe'!$A$2:$R$9994,14))</f>
        <v/>
      </c>
      <c r="O83" s="23" t="str">
        <f>IF($A83="","",VLOOKUP($A83,'MG Universe'!$A$2:$R$9994,15))</f>
        <v/>
      </c>
      <c r="P83" s="19" t="str">
        <f>IF($A83="","",VLOOKUP($A83,'MG Universe'!$A$2:$R$9994,16))</f>
        <v/>
      </c>
      <c r="Q83" s="22" t="str">
        <f>IF($A83="","",VLOOKUP($A83,'MG Universe'!$A$2:$R$9994,17))</f>
        <v/>
      </c>
    </row>
    <row r="84" spans="1:17" x14ac:dyDescent="0.55000000000000004">
      <c r="A84" s="94"/>
      <c r="B84" s="19" t="str">
        <f>IF($A84="","",VLOOKUP($A84,'MG Universe'!$A$2:$R$9994,2))</f>
        <v/>
      </c>
      <c r="C84" s="19" t="str">
        <f>IF($A84="","",VLOOKUP($A84,'MG Universe'!$A$2:$R$9994,3))</f>
        <v/>
      </c>
      <c r="D84" s="19" t="str">
        <f>IF($A84="","",VLOOKUP($A84,'MG Universe'!$A$2:$R$9994,4))</f>
        <v/>
      </c>
      <c r="E84" s="19" t="str">
        <f>IF($A84="","",VLOOKUP($A84,'MG Universe'!$A$2:$R$9994,5))</f>
        <v/>
      </c>
      <c r="F84" s="20" t="str">
        <f>IF($A84="","",VLOOKUP($A84,'MG Universe'!$A$2:$R$9994,6))</f>
        <v/>
      </c>
      <c r="G84" s="22" t="str">
        <f>IF($A84="","",VLOOKUP($A84,'MG Universe'!$A$2:$R$9994,7))</f>
        <v/>
      </c>
      <c r="H84" s="22" t="str">
        <f>IF($A84="","",VLOOKUP($A84,'MG Universe'!$A$2:$R$9994,8))</f>
        <v/>
      </c>
      <c r="I84" s="23" t="str">
        <f>IF($A84="","",VLOOKUP($A84,'MG Universe'!$A$2:$R$9994,9))</f>
        <v/>
      </c>
      <c r="J84" s="19" t="str">
        <f>IF($A84="","",VLOOKUP($A84,'MG Universe'!$A$2:$R$9994,10))</f>
        <v/>
      </c>
      <c r="K84" s="23" t="str">
        <f>IF($A84="","",VLOOKUP($A84,'MG Universe'!$A$2:$R$9994,11))</f>
        <v/>
      </c>
      <c r="L84" s="19" t="str">
        <f>IF($A84="","",VLOOKUP($A84,'MG Universe'!$A$2:$R$9994,12))</f>
        <v/>
      </c>
      <c r="M84" s="19" t="str">
        <f>IF($A84="","",VLOOKUP($A84,'MG Universe'!$A$2:$R$9994,13))</f>
        <v/>
      </c>
      <c r="N84" s="22" t="str">
        <f>IF($A84="","",VLOOKUP($A84,'MG Universe'!$A$2:$R$9994,14))</f>
        <v/>
      </c>
      <c r="O84" s="23" t="str">
        <f>IF($A84="","",VLOOKUP($A84,'MG Universe'!$A$2:$R$9994,15))</f>
        <v/>
      </c>
      <c r="P84" s="19" t="str">
        <f>IF($A84="","",VLOOKUP($A84,'MG Universe'!$A$2:$R$9994,16))</f>
        <v/>
      </c>
      <c r="Q84" s="22" t="str">
        <f>IF($A84="","",VLOOKUP($A84,'MG Universe'!$A$2:$R$9994,17))</f>
        <v/>
      </c>
    </row>
    <row r="85" spans="1:17" x14ac:dyDescent="0.55000000000000004">
      <c r="A85" s="94"/>
      <c r="B85" s="19" t="str">
        <f>IF($A85="","",VLOOKUP($A85,'MG Universe'!$A$2:$R$9994,2))</f>
        <v/>
      </c>
      <c r="C85" s="19" t="str">
        <f>IF($A85="","",VLOOKUP($A85,'MG Universe'!$A$2:$R$9994,3))</f>
        <v/>
      </c>
      <c r="D85" s="19" t="str">
        <f>IF($A85="","",VLOOKUP($A85,'MG Universe'!$A$2:$R$9994,4))</f>
        <v/>
      </c>
      <c r="E85" s="19" t="str">
        <f>IF($A85="","",VLOOKUP($A85,'MG Universe'!$A$2:$R$9994,5))</f>
        <v/>
      </c>
      <c r="F85" s="20" t="str">
        <f>IF($A85="","",VLOOKUP($A85,'MG Universe'!$A$2:$R$9994,6))</f>
        <v/>
      </c>
      <c r="G85" s="22" t="str">
        <f>IF($A85="","",VLOOKUP($A85,'MG Universe'!$A$2:$R$9994,7))</f>
        <v/>
      </c>
      <c r="H85" s="22" t="str">
        <f>IF($A85="","",VLOOKUP($A85,'MG Universe'!$A$2:$R$9994,8))</f>
        <v/>
      </c>
      <c r="I85" s="23" t="str">
        <f>IF($A85="","",VLOOKUP($A85,'MG Universe'!$A$2:$R$9994,9))</f>
        <v/>
      </c>
      <c r="J85" s="19" t="str">
        <f>IF($A85="","",VLOOKUP($A85,'MG Universe'!$A$2:$R$9994,10))</f>
        <v/>
      </c>
      <c r="K85" s="23" t="str">
        <f>IF($A85="","",VLOOKUP($A85,'MG Universe'!$A$2:$R$9994,11))</f>
        <v/>
      </c>
      <c r="L85" s="19" t="str">
        <f>IF($A85="","",VLOOKUP($A85,'MG Universe'!$A$2:$R$9994,12))</f>
        <v/>
      </c>
      <c r="M85" s="19" t="str">
        <f>IF($A85="","",VLOOKUP($A85,'MG Universe'!$A$2:$R$9994,13))</f>
        <v/>
      </c>
      <c r="N85" s="22" t="str">
        <f>IF($A85="","",VLOOKUP($A85,'MG Universe'!$A$2:$R$9994,14))</f>
        <v/>
      </c>
      <c r="O85" s="23" t="str">
        <f>IF($A85="","",VLOOKUP($A85,'MG Universe'!$A$2:$R$9994,15))</f>
        <v/>
      </c>
      <c r="P85" s="19" t="str">
        <f>IF($A85="","",VLOOKUP($A85,'MG Universe'!$A$2:$R$9994,16))</f>
        <v/>
      </c>
      <c r="Q85" s="22" t="str">
        <f>IF($A85="","",VLOOKUP($A85,'MG Universe'!$A$2:$R$9994,17))</f>
        <v/>
      </c>
    </row>
    <row r="86" spans="1:17" x14ac:dyDescent="0.55000000000000004">
      <c r="A86" s="94"/>
      <c r="B86" s="19" t="str">
        <f>IF($A86="","",VLOOKUP($A86,'MG Universe'!$A$2:$R$9994,2))</f>
        <v/>
      </c>
      <c r="C86" s="19" t="str">
        <f>IF($A86="","",VLOOKUP($A86,'MG Universe'!$A$2:$R$9994,3))</f>
        <v/>
      </c>
      <c r="D86" s="19" t="str">
        <f>IF($A86="","",VLOOKUP($A86,'MG Universe'!$A$2:$R$9994,4))</f>
        <v/>
      </c>
      <c r="E86" s="19" t="str">
        <f>IF($A86="","",VLOOKUP($A86,'MG Universe'!$A$2:$R$9994,5))</f>
        <v/>
      </c>
      <c r="F86" s="20" t="str">
        <f>IF($A86="","",VLOOKUP($A86,'MG Universe'!$A$2:$R$9994,6))</f>
        <v/>
      </c>
      <c r="G86" s="22" t="str">
        <f>IF($A86="","",VLOOKUP($A86,'MG Universe'!$A$2:$R$9994,7))</f>
        <v/>
      </c>
      <c r="H86" s="22" t="str">
        <f>IF($A86="","",VLOOKUP($A86,'MG Universe'!$A$2:$R$9994,8))</f>
        <v/>
      </c>
      <c r="I86" s="23" t="str">
        <f>IF($A86="","",VLOOKUP($A86,'MG Universe'!$A$2:$R$9994,9))</f>
        <v/>
      </c>
      <c r="J86" s="19" t="str">
        <f>IF($A86="","",VLOOKUP($A86,'MG Universe'!$A$2:$R$9994,10))</f>
        <v/>
      </c>
      <c r="K86" s="23" t="str">
        <f>IF($A86="","",VLOOKUP($A86,'MG Universe'!$A$2:$R$9994,11))</f>
        <v/>
      </c>
      <c r="L86" s="19" t="str">
        <f>IF($A86="","",VLOOKUP($A86,'MG Universe'!$A$2:$R$9994,12))</f>
        <v/>
      </c>
      <c r="M86" s="19" t="str">
        <f>IF($A86="","",VLOOKUP($A86,'MG Universe'!$A$2:$R$9994,13))</f>
        <v/>
      </c>
      <c r="N86" s="22" t="str">
        <f>IF($A86="","",VLOOKUP($A86,'MG Universe'!$A$2:$R$9994,14))</f>
        <v/>
      </c>
      <c r="O86" s="23" t="str">
        <f>IF($A86="","",VLOOKUP($A86,'MG Universe'!$A$2:$R$9994,15))</f>
        <v/>
      </c>
      <c r="P86" s="19" t="str">
        <f>IF($A86="","",VLOOKUP($A86,'MG Universe'!$A$2:$R$9994,16))</f>
        <v/>
      </c>
      <c r="Q86" s="22" t="str">
        <f>IF($A86="","",VLOOKUP($A86,'MG Universe'!$A$2:$R$9994,17))</f>
        <v/>
      </c>
    </row>
    <row r="87" spans="1:17" x14ac:dyDescent="0.55000000000000004">
      <c r="A87" s="94"/>
      <c r="B87" s="19" t="str">
        <f>IF($A87="","",VLOOKUP($A87,'MG Universe'!$A$2:$R$9994,2))</f>
        <v/>
      </c>
      <c r="C87" s="19" t="str">
        <f>IF($A87="","",VLOOKUP($A87,'MG Universe'!$A$2:$R$9994,3))</f>
        <v/>
      </c>
      <c r="D87" s="19" t="str">
        <f>IF($A87="","",VLOOKUP($A87,'MG Universe'!$A$2:$R$9994,4))</f>
        <v/>
      </c>
      <c r="E87" s="19" t="str">
        <f>IF($A87="","",VLOOKUP($A87,'MG Universe'!$A$2:$R$9994,5))</f>
        <v/>
      </c>
      <c r="F87" s="20" t="str">
        <f>IF($A87="","",VLOOKUP($A87,'MG Universe'!$A$2:$R$9994,6))</f>
        <v/>
      </c>
      <c r="G87" s="22" t="str">
        <f>IF($A87="","",VLOOKUP($A87,'MG Universe'!$A$2:$R$9994,7))</f>
        <v/>
      </c>
      <c r="H87" s="22" t="str">
        <f>IF($A87="","",VLOOKUP($A87,'MG Universe'!$A$2:$R$9994,8))</f>
        <v/>
      </c>
      <c r="I87" s="23" t="str">
        <f>IF($A87="","",VLOOKUP($A87,'MG Universe'!$A$2:$R$9994,9))</f>
        <v/>
      </c>
      <c r="J87" s="19" t="str">
        <f>IF($A87="","",VLOOKUP($A87,'MG Universe'!$A$2:$R$9994,10))</f>
        <v/>
      </c>
      <c r="K87" s="23" t="str">
        <f>IF($A87="","",VLOOKUP($A87,'MG Universe'!$A$2:$R$9994,11))</f>
        <v/>
      </c>
      <c r="L87" s="19" t="str">
        <f>IF($A87="","",VLOOKUP($A87,'MG Universe'!$A$2:$R$9994,12))</f>
        <v/>
      </c>
      <c r="M87" s="19" t="str">
        <f>IF($A87="","",VLOOKUP($A87,'MG Universe'!$A$2:$R$9994,13))</f>
        <v/>
      </c>
      <c r="N87" s="22" t="str">
        <f>IF($A87="","",VLOOKUP($A87,'MG Universe'!$A$2:$R$9994,14))</f>
        <v/>
      </c>
      <c r="O87" s="23" t="str">
        <f>IF($A87="","",VLOOKUP($A87,'MG Universe'!$A$2:$R$9994,15))</f>
        <v/>
      </c>
      <c r="P87" s="19" t="str">
        <f>IF($A87="","",VLOOKUP($A87,'MG Universe'!$A$2:$R$9994,16))</f>
        <v/>
      </c>
      <c r="Q87" s="22" t="str">
        <f>IF($A87="","",VLOOKUP($A87,'MG Universe'!$A$2:$R$9994,17))</f>
        <v/>
      </c>
    </row>
    <row r="88" spans="1:17" x14ac:dyDescent="0.55000000000000004">
      <c r="A88" s="94"/>
      <c r="B88" s="19" t="str">
        <f>IF($A88="","",VLOOKUP($A88,'MG Universe'!$A$2:$R$9994,2))</f>
        <v/>
      </c>
      <c r="C88" s="19" t="str">
        <f>IF($A88="","",VLOOKUP($A88,'MG Universe'!$A$2:$R$9994,3))</f>
        <v/>
      </c>
      <c r="D88" s="19" t="str">
        <f>IF($A88="","",VLOOKUP($A88,'MG Universe'!$A$2:$R$9994,4))</f>
        <v/>
      </c>
      <c r="E88" s="19" t="str">
        <f>IF($A88="","",VLOOKUP($A88,'MG Universe'!$A$2:$R$9994,5))</f>
        <v/>
      </c>
      <c r="F88" s="20" t="str">
        <f>IF($A88="","",VLOOKUP($A88,'MG Universe'!$A$2:$R$9994,6))</f>
        <v/>
      </c>
      <c r="G88" s="22" t="str">
        <f>IF($A88="","",VLOOKUP($A88,'MG Universe'!$A$2:$R$9994,7))</f>
        <v/>
      </c>
      <c r="H88" s="22" t="str">
        <f>IF($A88="","",VLOOKUP($A88,'MG Universe'!$A$2:$R$9994,8))</f>
        <v/>
      </c>
      <c r="I88" s="23" t="str">
        <f>IF($A88="","",VLOOKUP($A88,'MG Universe'!$A$2:$R$9994,9))</f>
        <v/>
      </c>
      <c r="J88" s="19" t="str">
        <f>IF($A88="","",VLOOKUP($A88,'MG Universe'!$A$2:$R$9994,10))</f>
        <v/>
      </c>
      <c r="K88" s="23" t="str">
        <f>IF($A88="","",VLOOKUP($A88,'MG Universe'!$A$2:$R$9994,11))</f>
        <v/>
      </c>
      <c r="L88" s="19" t="str">
        <f>IF($A88="","",VLOOKUP($A88,'MG Universe'!$A$2:$R$9994,12))</f>
        <v/>
      </c>
      <c r="M88" s="19" t="str">
        <f>IF($A88="","",VLOOKUP($A88,'MG Universe'!$A$2:$R$9994,13))</f>
        <v/>
      </c>
      <c r="N88" s="22" t="str">
        <f>IF($A88="","",VLOOKUP($A88,'MG Universe'!$A$2:$R$9994,14))</f>
        <v/>
      </c>
      <c r="O88" s="23" t="str">
        <f>IF($A88="","",VLOOKUP($A88,'MG Universe'!$A$2:$R$9994,15))</f>
        <v/>
      </c>
      <c r="P88" s="19" t="str">
        <f>IF($A88="","",VLOOKUP($A88,'MG Universe'!$A$2:$R$9994,16))</f>
        <v/>
      </c>
      <c r="Q88" s="22" t="str">
        <f>IF($A88="","",VLOOKUP($A88,'MG Universe'!$A$2:$R$9994,17))</f>
        <v/>
      </c>
    </row>
    <row r="89" spans="1:17" x14ac:dyDescent="0.55000000000000004">
      <c r="A89" s="94"/>
      <c r="B89" s="19" t="str">
        <f>IF($A89="","",VLOOKUP($A89,'MG Universe'!$A$2:$R$9994,2))</f>
        <v/>
      </c>
      <c r="C89" s="19" t="str">
        <f>IF($A89="","",VLOOKUP($A89,'MG Universe'!$A$2:$R$9994,3))</f>
        <v/>
      </c>
      <c r="D89" s="19" t="str">
        <f>IF($A89="","",VLOOKUP($A89,'MG Universe'!$A$2:$R$9994,4))</f>
        <v/>
      </c>
      <c r="E89" s="19" t="str">
        <f>IF($A89="","",VLOOKUP($A89,'MG Universe'!$A$2:$R$9994,5))</f>
        <v/>
      </c>
      <c r="F89" s="20" t="str">
        <f>IF($A89="","",VLOOKUP($A89,'MG Universe'!$A$2:$R$9994,6))</f>
        <v/>
      </c>
      <c r="G89" s="22" t="str">
        <f>IF($A89="","",VLOOKUP($A89,'MG Universe'!$A$2:$R$9994,7))</f>
        <v/>
      </c>
      <c r="H89" s="22" t="str">
        <f>IF($A89="","",VLOOKUP($A89,'MG Universe'!$A$2:$R$9994,8))</f>
        <v/>
      </c>
      <c r="I89" s="23" t="str">
        <f>IF($A89="","",VLOOKUP($A89,'MG Universe'!$A$2:$R$9994,9))</f>
        <v/>
      </c>
      <c r="J89" s="19" t="str">
        <f>IF($A89="","",VLOOKUP($A89,'MG Universe'!$A$2:$R$9994,10))</f>
        <v/>
      </c>
      <c r="K89" s="23" t="str">
        <f>IF($A89="","",VLOOKUP($A89,'MG Universe'!$A$2:$R$9994,11))</f>
        <v/>
      </c>
      <c r="L89" s="19" t="str">
        <f>IF($A89="","",VLOOKUP($A89,'MG Universe'!$A$2:$R$9994,12))</f>
        <v/>
      </c>
      <c r="M89" s="19" t="str">
        <f>IF($A89="","",VLOOKUP($A89,'MG Universe'!$A$2:$R$9994,13))</f>
        <v/>
      </c>
      <c r="N89" s="22" t="str">
        <f>IF($A89="","",VLOOKUP($A89,'MG Universe'!$A$2:$R$9994,14))</f>
        <v/>
      </c>
      <c r="O89" s="23" t="str">
        <f>IF($A89="","",VLOOKUP($A89,'MG Universe'!$A$2:$R$9994,15))</f>
        <v/>
      </c>
      <c r="P89" s="19" t="str">
        <f>IF($A89="","",VLOOKUP($A89,'MG Universe'!$A$2:$R$9994,16))</f>
        <v/>
      </c>
      <c r="Q89" s="22" t="str">
        <f>IF($A89="","",VLOOKUP($A89,'MG Universe'!$A$2:$R$9994,17))</f>
        <v/>
      </c>
    </row>
    <row r="90" spans="1:17" x14ac:dyDescent="0.55000000000000004">
      <c r="A90" s="94"/>
      <c r="B90" s="19" t="str">
        <f>IF($A90="","",VLOOKUP($A90,'MG Universe'!$A$2:$R$9994,2))</f>
        <v/>
      </c>
      <c r="C90" s="19" t="str">
        <f>IF($A90="","",VLOOKUP($A90,'MG Universe'!$A$2:$R$9994,3))</f>
        <v/>
      </c>
      <c r="D90" s="19" t="str">
        <f>IF($A90="","",VLOOKUP($A90,'MG Universe'!$A$2:$R$9994,4))</f>
        <v/>
      </c>
      <c r="E90" s="19" t="str">
        <f>IF($A90="","",VLOOKUP($A90,'MG Universe'!$A$2:$R$9994,5))</f>
        <v/>
      </c>
      <c r="F90" s="20" t="str">
        <f>IF($A90="","",VLOOKUP($A90,'MG Universe'!$A$2:$R$9994,6))</f>
        <v/>
      </c>
      <c r="G90" s="22" t="str">
        <f>IF($A90="","",VLOOKUP($A90,'MG Universe'!$A$2:$R$9994,7))</f>
        <v/>
      </c>
      <c r="H90" s="22" t="str">
        <f>IF($A90="","",VLOOKUP($A90,'MG Universe'!$A$2:$R$9994,8))</f>
        <v/>
      </c>
      <c r="I90" s="23" t="str">
        <f>IF($A90="","",VLOOKUP($A90,'MG Universe'!$A$2:$R$9994,9))</f>
        <v/>
      </c>
      <c r="J90" s="19" t="str">
        <f>IF($A90="","",VLOOKUP($A90,'MG Universe'!$A$2:$R$9994,10))</f>
        <v/>
      </c>
      <c r="K90" s="23" t="str">
        <f>IF($A90="","",VLOOKUP($A90,'MG Universe'!$A$2:$R$9994,11))</f>
        <v/>
      </c>
      <c r="L90" s="19" t="str">
        <f>IF($A90="","",VLOOKUP($A90,'MG Universe'!$A$2:$R$9994,12))</f>
        <v/>
      </c>
      <c r="M90" s="19" t="str">
        <f>IF($A90="","",VLOOKUP($A90,'MG Universe'!$A$2:$R$9994,13))</f>
        <v/>
      </c>
      <c r="N90" s="22" t="str">
        <f>IF($A90="","",VLOOKUP($A90,'MG Universe'!$A$2:$R$9994,14))</f>
        <v/>
      </c>
      <c r="O90" s="23" t="str">
        <f>IF($A90="","",VLOOKUP($A90,'MG Universe'!$A$2:$R$9994,15))</f>
        <v/>
      </c>
      <c r="P90" s="19" t="str">
        <f>IF($A90="","",VLOOKUP($A90,'MG Universe'!$A$2:$R$9994,16))</f>
        <v/>
      </c>
      <c r="Q90" s="22" t="str">
        <f>IF($A90="","",VLOOKUP($A90,'MG Universe'!$A$2:$R$9994,17))</f>
        <v/>
      </c>
    </row>
    <row r="91" spans="1:17" x14ac:dyDescent="0.55000000000000004">
      <c r="A91" s="94"/>
      <c r="B91" s="19" t="str">
        <f>IF($A91="","",VLOOKUP($A91,'MG Universe'!$A$2:$R$9994,2))</f>
        <v/>
      </c>
      <c r="C91" s="19" t="str">
        <f>IF($A91="","",VLOOKUP($A91,'MG Universe'!$A$2:$R$9994,3))</f>
        <v/>
      </c>
      <c r="D91" s="19" t="str">
        <f>IF($A91="","",VLOOKUP($A91,'MG Universe'!$A$2:$R$9994,4))</f>
        <v/>
      </c>
      <c r="E91" s="19" t="str">
        <f>IF($A91="","",VLOOKUP($A91,'MG Universe'!$A$2:$R$9994,5))</f>
        <v/>
      </c>
      <c r="F91" s="20" t="str">
        <f>IF($A91="","",VLOOKUP($A91,'MG Universe'!$A$2:$R$9994,6))</f>
        <v/>
      </c>
      <c r="G91" s="22" t="str">
        <f>IF($A91="","",VLOOKUP($A91,'MG Universe'!$A$2:$R$9994,7))</f>
        <v/>
      </c>
      <c r="H91" s="22" t="str">
        <f>IF($A91="","",VLOOKUP($A91,'MG Universe'!$A$2:$R$9994,8))</f>
        <v/>
      </c>
      <c r="I91" s="23" t="str">
        <f>IF($A91="","",VLOOKUP($A91,'MG Universe'!$A$2:$R$9994,9))</f>
        <v/>
      </c>
      <c r="J91" s="19" t="str">
        <f>IF($A91="","",VLOOKUP($A91,'MG Universe'!$A$2:$R$9994,10))</f>
        <v/>
      </c>
      <c r="K91" s="23" t="str">
        <f>IF($A91="","",VLOOKUP($A91,'MG Universe'!$A$2:$R$9994,11))</f>
        <v/>
      </c>
      <c r="L91" s="19" t="str">
        <f>IF($A91="","",VLOOKUP($A91,'MG Universe'!$A$2:$R$9994,12))</f>
        <v/>
      </c>
      <c r="M91" s="19" t="str">
        <f>IF($A91="","",VLOOKUP($A91,'MG Universe'!$A$2:$R$9994,13))</f>
        <v/>
      </c>
      <c r="N91" s="22" t="str">
        <f>IF($A91="","",VLOOKUP($A91,'MG Universe'!$A$2:$R$9994,14))</f>
        <v/>
      </c>
      <c r="O91" s="23" t="str">
        <f>IF($A91="","",VLOOKUP($A91,'MG Universe'!$A$2:$R$9994,15))</f>
        <v/>
      </c>
      <c r="P91" s="19" t="str">
        <f>IF($A91="","",VLOOKUP($A91,'MG Universe'!$A$2:$R$9994,16))</f>
        <v/>
      </c>
      <c r="Q91" s="22" t="str">
        <f>IF($A91="","",VLOOKUP($A91,'MG Universe'!$A$2:$R$9994,17))</f>
        <v/>
      </c>
    </row>
    <row r="92" spans="1:17" x14ac:dyDescent="0.55000000000000004">
      <c r="A92" s="94"/>
      <c r="B92" s="19" t="str">
        <f>IF($A92="","",VLOOKUP($A92,'MG Universe'!$A$2:$R$9994,2))</f>
        <v/>
      </c>
      <c r="C92" s="19" t="str">
        <f>IF($A92="","",VLOOKUP($A92,'MG Universe'!$A$2:$R$9994,3))</f>
        <v/>
      </c>
      <c r="D92" s="19" t="str">
        <f>IF($A92="","",VLOOKUP($A92,'MG Universe'!$A$2:$R$9994,4))</f>
        <v/>
      </c>
      <c r="E92" s="19" t="str">
        <f>IF($A92="","",VLOOKUP($A92,'MG Universe'!$A$2:$R$9994,5))</f>
        <v/>
      </c>
      <c r="F92" s="20" t="str">
        <f>IF($A92="","",VLOOKUP($A92,'MG Universe'!$A$2:$R$9994,6))</f>
        <v/>
      </c>
      <c r="G92" s="22" t="str">
        <f>IF($A92="","",VLOOKUP($A92,'MG Universe'!$A$2:$R$9994,7))</f>
        <v/>
      </c>
      <c r="H92" s="22" t="str">
        <f>IF($A92="","",VLOOKUP($A92,'MG Universe'!$A$2:$R$9994,8))</f>
        <v/>
      </c>
      <c r="I92" s="23" t="str">
        <f>IF($A92="","",VLOOKUP($A92,'MG Universe'!$A$2:$R$9994,9))</f>
        <v/>
      </c>
      <c r="J92" s="19" t="str">
        <f>IF($A92="","",VLOOKUP($A92,'MG Universe'!$A$2:$R$9994,10))</f>
        <v/>
      </c>
      <c r="K92" s="23" t="str">
        <f>IF($A92="","",VLOOKUP($A92,'MG Universe'!$A$2:$R$9994,11))</f>
        <v/>
      </c>
      <c r="L92" s="19" t="str">
        <f>IF($A92="","",VLOOKUP($A92,'MG Universe'!$A$2:$R$9994,12))</f>
        <v/>
      </c>
      <c r="M92" s="19" t="str">
        <f>IF($A92="","",VLOOKUP($A92,'MG Universe'!$A$2:$R$9994,13))</f>
        <v/>
      </c>
      <c r="N92" s="22" t="str">
        <f>IF($A92="","",VLOOKUP($A92,'MG Universe'!$A$2:$R$9994,14))</f>
        <v/>
      </c>
      <c r="O92" s="23" t="str">
        <f>IF($A92="","",VLOOKUP($A92,'MG Universe'!$A$2:$R$9994,15))</f>
        <v/>
      </c>
      <c r="P92" s="19" t="str">
        <f>IF($A92="","",VLOOKUP($A92,'MG Universe'!$A$2:$R$9994,16))</f>
        <v/>
      </c>
      <c r="Q92" s="22" t="str">
        <f>IF($A92="","",VLOOKUP($A92,'MG Universe'!$A$2:$R$9994,17))</f>
        <v/>
      </c>
    </row>
    <row r="93" spans="1:17" x14ac:dyDescent="0.55000000000000004">
      <c r="A93" s="94"/>
      <c r="B93" s="19" t="str">
        <f>IF($A93="","",VLOOKUP($A93,'MG Universe'!$A$2:$R$9994,2))</f>
        <v/>
      </c>
      <c r="C93" s="19" t="str">
        <f>IF($A93="","",VLOOKUP($A93,'MG Universe'!$A$2:$R$9994,3))</f>
        <v/>
      </c>
      <c r="D93" s="19" t="str">
        <f>IF($A93="","",VLOOKUP($A93,'MG Universe'!$A$2:$R$9994,4))</f>
        <v/>
      </c>
      <c r="E93" s="19" t="str">
        <f>IF($A93="","",VLOOKUP($A93,'MG Universe'!$A$2:$R$9994,5))</f>
        <v/>
      </c>
      <c r="F93" s="20" t="str">
        <f>IF($A93="","",VLOOKUP($A93,'MG Universe'!$A$2:$R$9994,6))</f>
        <v/>
      </c>
      <c r="G93" s="22" t="str">
        <f>IF($A93="","",VLOOKUP($A93,'MG Universe'!$A$2:$R$9994,7))</f>
        <v/>
      </c>
      <c r="H93" s="22" t="str">
        <f>IF($A93="","",VLOOKUP($A93,'MG Universe'!$A$2:$R$9994,8))</f>
        <v/>
      </c>
      <c r="I93" s="23" t="str">
        <f>IF($A93="","",VLOOKUP($A93,'MG Universe'!$A$2:$R$9994,9))</f>
        <v/>
      </c>
      <c r="J93" s="19" t="str">
        <f>IF($A93="","",VLOOKUP($A93,'MG Universe'!$A$2:$R$9994,10))</f>
        <v/>
      </c>
      <c r="K93" s="23" t="str">
        <f>IF($A93="","",VLOOKUP($A93,'MG Universe'!$A$2:$R$9994,11))</f>
        <v/>
      </c>
      <c r="L93" s="19" t="str">
        <f>IF($A93="","",VLOOKUP($A93,'MG Universe'!$A$2:$R$9994,12))</f>
        <v/>
      </c>
      <c r="M93" s="19" t="str">
        <f>IF($A93="","",VLOOKUP($A93,'MG Universe'!$A$2:$R$9994,13))</f>
        <v/>
      </c>
      <c r="N93" s="22" t="str">
        <f>IF($A93="","",VLOOKUP($A93,'MG Universe'!$A$2:$R$9994,14))</f>
        <v/>
      </c>
      <c r="O93" s="23" t="str">
        <f>IF($A93="","",VLOOKUP($A93,'MG Universe'!$A$2:$R$9994,15))</f>
        <v/>
      </c>
      <c r="P93" s="19" t="str">
        <f>IF($A93="","",VLOOKUP($A93,'MG Universe'!$A$2:$R$9994,16))</f>
        <v/>
      </c>
      <c r="Q93" s="22" t="str">
        <f>IF($A93="","",VLOOKUP($A93,'MG Universe'!$A$2:$R$9994,17))</f>
        <v/>
      </c>
    </row>
    <row r="94" spans="1:17" x14ac:dyDescent="0.55000000000000004">
      <c r="A94" s="94"/>
      <c r="B94" s="19" t="str">
        <f>IF($A94="","",VLOOKUP($A94,'MG Universe'!$A$2:$R$9994,2))</f>
        <v/>
      </c>
      <c r="C94" s="19" t="str">
        <f>IF($A94="","",VLOOKUP($A94,'MG Universe'!$A$2:$R$9994,3))</f>
        <v/>
      </c>
      <c r="D94" s="19" t="str">
        <f>IF($A94="","",VLOOKUP($A94,'MG Universe'!$A$2:$R$9994,4))</f>
        <v/>
      </c>
      <c r="E94" s="19" t="str">
        <f>IF($A94="","",VLOOKUP($A94,'MG Universe'!$A$2:$R$9994,5))</f>
        <v/>
      </c>
      <c r="F94" s="20" t="str">
        <f>IF($A94="","",VLOOKUP($A94,'MG Universe'!$A$2:$R$9994,6))</f>
        <v/>
      </c>
      <c r="G94" s="22" t="str">
        <f>IF($A94="","",VLOOKUP($A94,'MG Universe'!$A$2:$R$9994,7))</f>
        <v/>
      </c>
      <c r="H94" s="22" t="str">
        <f>IF($A94="","",VLOOKUP($A94,'MG Universe'!$A$2:$R$9994,8))</f>
        <v/>
      </c>
      <c r="I94" s="23" t="str">
        <f>IF($A94="","",VLOOKUP($A94,'MG Universe'!$A$2:$R$9994,9))</f>
        <v/>
      </c>
      <c r="J94" s="19" t="str">
        <f>IF($A94="","",VLOOKUP($A94,'MG Universe'!$A$2:$R$9994,10))</f>
        <v/>
      </c>
      <c r="K94" s="23" t="str">
        <f>IF($A94="","",VLOOKUP($A94,'MG Universe'!$A$2:$R$9994,11))</f>
        <v/>
      </c>
      <c r="L94" s="19" t="str">
        <f>IF($A94="","",VLOOKUP($A94,'MG Universe'!$A$2:$R$9994,12))</f>
        <v/>
      </c>
      <c r="M94" s="19" t="str">
        <f>IF($A94="","",VLOOKUP($A94,'MG Universe'!$A$2:$R$9994,13))</f>
        <v/>
      </c>
      <c r="N94" s="22" t="str">
        <f>IF($A94="","",VLOOKUP($A94,'MG Universe'!$A$2:$R$9994,14))</f>
        <v/>
      </c>
      <c r="O94" s="23" t="str">
        <f>IF($A94="","",VLOOKUP($A94,'MG Universe'!$A$2:$R$9994,15))</f>
        <v/>
      </c>
      <c r="P94" s="19" t="str">
        <f>IF($A94="","",VLOOKUP($A94,'MG Universe'!$A$2:$R$9994,16))</f>
        <v/>
      </c>
      <c r="Q94" s="22" t="str">
        <f>IF($A94="","",VLOOKUP($A94,'MG Universe'!$A$2:$R$9994,17))</f>
        <v/>
      </c>
    </row>
    <row r="95" spans="1:17" x14ac:dyDescent="0.55000000000000004">
      <c r="A95" s="94"/>
      <c r="B95" s="19" t="str">
        <f>IF($A95="","",VLOOKUP($A95,'MG Universe'!$A$2:$R$9994,2))</f>
        <v/>
      </c>
      <c r="C95" s="19" t="str">
        <f>IF($A95="","",VLOOKUP($A95,'MG Universe'!$A$2:$R$9994,3))</f>
        <v/>
      </c>
      <c r="D95" s="19" t="str">
        <f>IF($A95="","",VLOOKUP($A95,'MG Universe'!$A$2:$R$9994,4))</f>
        <v/>
      </c>
      <c r="E95" s="19" t="str">
        <f>IF($A95="","",VLOOKUP($A95,'MG Universe'!$A$2:$R$9994,5))</f>
        <v/>
      </c>
      <c r="F95" s="20" t="str">
        <f>IF($A95="","",VLOOKUP($A95,'MG Universe'!$A$2:$R$9994,6))</f>
        <v/>
      </c>
      <c r="G95" s="22" t="str">
        <f>IF($A95="","",VLOOKUP($A95,'MG Universe'!$A$2:$R$9994,7))</f>
        <v/>
      </c>
      <c r="H95" s="22" t="str">
        <f>IF($A95="","",VLOOKUP($A95,'MG Universe'!$A$2:$R$9994,8))</f>
        <v/>
      </c>
      <c r="I95" s="23" t="str">
        <f>IF($A95="","",VLOOKUP($A95,'MG Universe'!$A$2:$R$9994,9))</f>
        <v/>
      </c>
      <c r="J95" s="19" t="str">
        <f>IF($A95="","",VLOOKUP($A95,'MG Universe'!$A$2:$R$9994,10))</f>
        <v/>
      </c>
      <c r="K95" s="23" t="str">
        <f>IF($A95="","",VLOOKUP($A95,'MG Universe'!$A$2:$R$9994,11))</f>
        <v/>
      </c>
      <c r="L95" s="19" t="str">
        <f>IF($A95="","",VLOOKUP($A95,'MG Universe'!$A$2:$R$9994,12))</f>
        <v/>
      </c>
      <c r="M95" s="19" t="str">
        <f>IF($A95="","",VLOOKUP($A95,'MG Universe'!$A$2:$R$9994,13))</f>
        <v/>
      </c>
      <c r="N95" s="22" t="str">
        <f>IF($A95="","",VLOOKUP($A95,'MG Universe'!$A$2:$R$9994,14))</f>
        <v/>
      </c>
      <c r="O95" s="23" t="str">
        <f>IF($A95="","",VLOOKUP($A95,'MG Universe'!$A$2:$R$9994,15))</f>
        <v/>
      </c>
      <c r="P95" s="19" t="str">
        <f>IF($A95="","",VLOOKUP($A95,'MG Universe'!$A$2:$R$9994,16))</f>
        <v/>
      </c>
      <c r="Q95" s="22" t="str">
        <f>IF($A95="","",VLOOKUP($A95,'MG Universe'!$A$2:$R$9994,17))</f>
        <v/>
      </c>
    </row>
    <row r="96" spans="1:17" x14ac:dyDescent="0.55000000000000004">
      <c r="A96" s="94"/>
      <c r="B96" s="19" t="str">
        <f>IF($A96="","",VLOOKUP($A96,'MG Universe'!$A$2:$R$9994,2))</f>
        <v/>
      </c>
      <c r="C96" s="19" t="str">
        <f>IF($A96="","",VLOOKUP($A96,'MG Universe'!$A$2:$R$9994,3))</f>
        <v/>
      </c>
      <c r="D96" s="19" t="str">
        <f>IF($A96="","",VLOOKUP($A96,'MG Universe'!$A$2:$R$9994,4))</f>
        <v/>
      </c>
      <c r="E96" s="19" t="str">
        <f>IF($A96="","",VLOOKUP($A96,'MG Universe'!$A$2:$R$9994,5))</f>
        <v/>
      </c>
      <c r="F96" s="20" t="str">
        <f>IF($A96="","",VLOOKUP($A96,'MG Universe'!$A$2:$R$9994,6))</f>
        <v/>
      </c>
      <c r="G96" s="22" t="str">
        <f>IF($A96="","",VLOOKUP($A96,'MG Universe'!$A$2:$R$9994,7))</f>
        <v/>
      </c>
      <c r="H96" s="22" t="str">
        <f>IF($A96="","",VLOOKUP($A96,'MG Universe'!$A$2:$R$9994,8))</f>
        <v/>
      </c>
      <c r="I96" s="23" t="str">
        <f>IF($A96="","",VLOOKUP($A96,'MG Universe'!$A$2:$R$9994,9))</f>
        <v/>
      </c>
      <c r="J96" s="19" t="str">
        <f>IF($A96="","",VLOOKUP($A96,'MG Universe'!$A$2:$R$9994,10))</f>
        <v/>
      </c>
      <c r="K96" s="23" t="str">
        <f>IF($A96="","",VLOOKUP($A96,'MG Universe'!$A$2:$R$9994,11))</f>
        <v/>
      </c>
      <c r="L96" s="19" t="str">
        <f>IF($A96="","",VLOOKUP($A96,'MG Universe'!$A$2:$R$9994,12))</f>
        <v/>
      </c>
      <c r="M96" s="19" t="str">
        <f>IF($A96="","",VLOOKUP($A96,'MG Universe'!$A$2:$R$9994,13))</f>
        <v/>
      </c>
      <c r="N96" s="22" t="str">
        <f>IF($A96="","",VLOOKUP($A96,'MG Universe'!$A$2:$R$9994,14))</f>
        <v/>
      </c>
      <c r="O96" s="23" t="str">
        <f>IF($A96="","",VLOOKUP($A96,'MG Universe'!$A$2:$R$9994,15))</f>
        <v/>
      </c>
      <c r="P96" s="19" t="str">
        <f>IF($A96="","",VLOOKUP($A96,'MG Universe'!$A$2:$R$9994,16))</f>
        <v/>
      </c>
      <c r="Q96" s="22" t="str">
        <f>IF($A96="","",VLOOKUP($A96,'MG Universe'!$A$2:$R$9994,17))</f>
        <v/>
      </c>
    </row>
    <row r="97" spans="1:17" x14ac:dyDescent="0.55000000000000004">
      <c r="A97" s="94"/>
      <c r="B97" s="19" t="str">
        <f>IF($A97="","",VLOOKUP($A97,'MG Universe'!$A$2:$R$9994,2))</f>
        <v/>
      </c>
      <c r="C97" s="19" t="str">
        <f>IF($A97="","",VLOOKUP($A97,'MG Universe'!$A$2:$R$9994,3))</f>
        <v/>
      </c>
      <c r="D97" s="19" t="str">
        <f>IF($A97="","",VLOOKUP($A97,'MG Universe'!$A$2:$R$9994,4))</f>
        <v/>
      </c>
      <c r="E97" s="19" t="str">
        <f>IF($A97="","",VLOOKUP($A97,'MG Universe'!$A$2:$R$9994,5))</f>
        <v/>
      </c>
      <c r="F97" s="20" t="str">
        <f>IF($A97="","",VLOOKUP($A97,'MG Universe'!$A$2:$R$9994,6))</f>
        <v/>
      </c>
      <c r="G97" s="22" t="str">
        <f>IF($A97="","",VLOOKUP($A97,'MG Universe'!$A$2:$R$9994,7))</f>
        <v/>
      </c>
      <c r="H97" s="22" t="str">
        <f>IF($A97="","",VLOOKUP($A97,'MG Universe'!$A$2:$R$9994,8))</f>
        <v/>
      </c>
      <c r="I97" s="23" t="str">
        <f>IF($A97="","",VLOOKUP($A97,'MG Universe'!$A$2:$R$9994,9))</f>
        <v/>
      </c>
      <c r="J97" s="19" t="str">
        <f>IF($A97="","",VLOOKUP($A97,'MG Universe'!$A$2:$R$9994,10))</f>
        <v/>
      </c>
      <c r="K97" s="23" t="str">
        <f>IF($A97="","",VLOOKUP($A97,'MG Universe'!$A$2:$R$9994,11))</f>
        <v/>
      </c>
      <c r="L97" s="19" t="str">
        <f>IF($A97="","",VLOOKUP($A97,'MG Universe'!$A$2:$R$9994,12))</f>
        <v/>
      </c>
      <c r="M97" s="19" t="str">
        <f>IF($A97="","",VLOOKUP($A97,'MG Universe'!$A$2:$R$9994,13))</f>
        <v/>
      </c>
      <c r="N97" s="22" t="str">
        <f>IF($A97="","",VLOOKUP($A97,'MG Universe'!$A$2:$R$9994,14))</f>
        <v/>
      </c>
      <c r="O97" s="23" t="str">
        <f>IF($A97="","",VLOOKUP($A97,'MG Universe'!$A$2:$R$9994,15))</f>
        <v/>
      </c>
      <c r="P97" s="19" t="str">
        <f>IF($A97="","",VLOOKUP($A97,'MG Universe'!$A$2:$R$9994,16))</f>
        <v/>
      </c>
      <c r="Q97" s="22" t="str">
        <f>IF($A97="","",VLOOKUP($A97,'MG Universe'!$A$2:$R$9994,17))</f>
        <v/>
      </c>
    </row>
    <row r="98" spans="1:17" x14ac:dyDescent="0.55000000000000004">
      <c r="A98" s="94"/>
      <c r="B98" s="19" t="str">
        <f>IF($A98="","",VLOOKUP($A98,'MG Universe'!$A$2:$R$9994,2))</f>
        <v/>
      </c>
      <c r="C98" s="19" t="str">
        <f>IF($A98="","",VLOOKUP($A98,'MG Universe'!$A$2:$R$9994,3))</f>
        <v/>
      </c>
      <c r="D98" s="19" t="str">
        <f>IF($A98="","",VLOOKUP($A98,'MG Universe'!$A$2:$R$9994,4))</f>
        <v/>
      </c>
      <c r="E98" s="19" t="str">
        <f>IF($A98="","",VLOOKUP($A98,'MG Universe'!$A$2:$R$9994,5))</f>
        <v/>
      </c>
      <c r="F98" s="20" t="str">
        <f>IF($A98="","",VLOOKUP($A98,'MG Universe'!$A$2:$R$9994,6))</f>
        <v/>
      </c>
      <c r="G98" s="22" t="str">
        <f>IF($A98="","",VLOOKUP($A98,'MG Universe'!$A$2:$R$9994,7))</f>
        <v/>
      </c>
      <c r="H98" s="22" t="str">
        <f>IF($A98="","",VLOOKUP($A98,'MG Universe'!$A$2:$R$9994,8))</f>
        <v/>
      </c>
      <c r="I98" s="23" t="str">
        <f>IF($A98="","",VLOOKUP($A98,'MG Universe'!$A$2:$R$9994,9))</f>
        <v/>
      </c>
      <c r="J98" s="19" t="str">
        <f>IF($A98="","",VLOOKUP($A98,'MG Universe'!$A$2:$R$9994,10))</f>
        <v/>
      </c>
      <c r="K98" s="23" t="str">
        <f>IF($A98="","",VLOOKUP($A98,'MG Universe'!$A$2:$R$9994,11))</f>
        <v/>
      </c>
      <c r="L98" s="19" t="str">
        <f>IF($A98="","",VLOOKUP($A98,'MG Universe'!$A$2:$R$9994,12))</f>
        <v/>
      </c>
      <c r="M98" s="19" t="str">
        <f>IF($A98="","",VLOOKUP($A98,'MG Universe'!$A$2:$R$9994,13))</f>
        <v/>
      </c>
      <c r="N98" s="22" t="str">
        <f>IF($A98="","",VLOOKUP($A98,'MG Universe'!$A$2:$R$9994,14))</f>
        <v/>
      </c>
      <c r="O98" s="23" t="str">
        <f>IF($A98="","",VLOOKUP($A98,'MG Universe'!$A$2:$R$9994,15))</f>
        <v/>
      </c>
      <c r="P98" s="19" t="str">
        <f>IF($A98="","",VLOOKUP($A98,'MG Universe'!$A$2:$R$9994,16))</f>
        <v/>
      </c>
      <c r="Q98" s="22" t="str">
        <f>IF($A98="","",VLOOKUP($A98,'MG Universe'!$A$2:$R$9994,17))</f>
        <v/>
      </c>
    </row>
    <row r="99" spans="1:17" x14ac:dyDescent="0.55000000000000004">
      <c r="A99" s="94"/>
      <c r="B99" s="19" t="str">
        <f>IF($A99="","",VLOOKUP($A99,'MG Universe'!$A$2:$R$9994,2))</f>
        <v/>
      </c>
      <c r="C99" s="19" t="str">
        <f>IF($A99="","",VLOOKUP($A99,'MG Universe'!$A$2:$R$9994,3))</f>
        <v/>
      </c>
      <c r="D99" s="19" t="str">
        <f>IF($A99="","",VLOOKUP($A99,'MG Universe'!$A$2:$R$9994,4))</f>
        <v/>
      </c>
      <c r="E99" s="19" t="str">
        <f>IF($A99="","",VLOOKUP($A99,'MG Universe'!$A$2:$R$9994,5))</f>
        <v/>
      </c>
      <c r="F99" s="20" t="str">
        <f>IF($A99="","",VLOOKUP($A99,'MG Universe'!$A$2:$R$9994,6))</f>
        <v/>
      </c>
      <c r="G99" s="22" t="str">
        <f>IF($A99="","",VLOOKUP($A99,'MG Universe'!$A$2:$R$9994,7))</f>
        <v/>
      </c>
      <c r="H99" s="22" t="str">
        <f>IF($A99="","",VLOOKUP($A99,'MG Universe'!$A$2:$R$9994,8))</f>
        <v/>
      </c>
      <c r="I99" s="23" t="str">
        <f>IF($A99="","",VLOOKUP($A99,'MG Universe'!$A$2:$R$9994,9))</f>
        <v/>
      </c>
      <c r="J99" s="19" t="str">
        <f>IF($A99="","",VLOOKUP($A99,'MG Universe'!$A$2:$R$9994,10))</f>
        <v/>
      </c>
      <c r="K99" s="23" t="str">
        <f>IF($A99="","",VLOOKUP($A99,'MG Universe'!$A$2:$R$9994,11))</f>
        <v/>
      </c>
      <c r="L99" s="19" t="str">
        <f>IF($A99="","",VLOOKUP($A99,'MG Universe'!$A$2:$R$9994,12))</f>
        <v/>
      </c>
      <c r="M99" s="19" t="str">
        <f>IF($A99="","",VLOOKUP($A99,'MG Universe'!$A$2:$R$9994,13))</f>
        <v/>
      </c>
      <c r="N99" s="22" t="str">
        <f>IF($A99="","",VLOOKUP($A99,'MG Universe'!$A$2:$R$9994,14))</f>
        <v/>
      </c>
      <c r="O99" s="23" t="str">
        <f>IF($A99="","",VLOOKUP($A99,'MG Universe'!$A$2:$R$9994,15))</f>
        <v/>
      </c>
      <c r="P99" s="19" t="str">
        <f>IF($A99="","",VLOOKUP($A99,'MG Universe'!$A$2:$R$9994,16))</f>
        <v/>
      </c>
      <c r="Q99" s="22" t="str">
        <f>IF($A99="","",VLOOKUP($A99,'MG Universe'!$A$2:$R$9994,17))</f>
        <v/>
      </c>
    </row>
    <row r="100" spans="1:17" x14ac:dyDescent="0.55000000000000004">
      <c r="A100" s="94"/>
      <c r="B100" s="19" t="str">
        <f>IF($A100="","",VLOOKUP($A100,'MG Universe'!$A$2:$R$9994,2))</f>
        <v/>
      </c>
      <c r="C100" s="19" t="str">
        <f>IF($A100="","",VLOOKUP($A100,'MG Universe'!$A$2:$R$9994,3))</f>
        <v/>
      </c>
      <c r="D100" s="19" t="str">
        <f>IF($A100="","",VLOOKUP($A100,'MG Universe'!$A$2:$R$9994,4))</f>
        <v/>
      </c>
      <c r="E100" s="19" t="str">
        <f>IF($A100="","",VLOOKUP($A100,'MG Universe'!$A$2:$R$9994,5))</f>
        <v/>
      </c>
      <c r="F100" s="20" t="str">
        <f>IF($A100="","",VLOOKUP($A100,'MG Universe'!$A$2:$R$9994,6))</f>
        <v/>
      </c>
      <c r="G100" s="22" t="str">
        <f>IF($A100="","",VLOOKUP($A100,'MG Universe'!$A$2:$R$9994,7))</f>
        <v/>
      </c>
      <c r="H100" s="22" t="str">
        <f>IF($A100="","",VLOOKUP($A100,'MG Universe'!$A$2:$R$9994,8))</f>
        <v/>
      </c>
      <c r="I100" s="23" t="str">
        <f>IF($A100="","",VLOOKUP($A100,'MG Universe'!$A$2:$R$9994,9))</f>
        <v/>
      </c>
      <c r="J100" s="19" t="str">
        <f>IF($A100="","",VLOOKUP($A100,'MG Universe'!$A$2:$R$9994,10))</f>
        <v/>
      </c>
      <c r="K100" s="23" t="str">
        <f>IF($A100="","",VLOOKUP($A100,'MG Universe'!$A$2:$R$9994,11))</f>
        <v/>
      </c>
      <c r="L100" s="19" t="str">
        <f>IF($A100="","",VLOOKUP($A100,'MG Universe'!$A$2:$R$9994,12))</f>
        <v/>
      </c>
      <c r="M100" s="19" t="str">
        <f>IF($A100="","",VLOOKUP($A100,'MG Universe'!$A$2:$R$9994,13))</f>
        <v/>
      </c>
      <c r="N100" s="22" t="str">
        <f>IF($A100="","",VLOOKUP($A100,'MG Universe'!$A$2:$R$9994,14))</f>
        <v/>
      </c>
      <c r="O100" s="23" t="str">
        <f>IF($A100="","",VLOOKUP($A100,'MG Universe'!$A$2:$R$9994,15))</f>
        <v/>
      </c>
      <c r="P100" s="19" t="str">
        <f>IF($A100="","",VLOOKUP($A100,'MG Universe'!$A$2:$R$9994,16))</f>
        <v/>
      </c>
      <c r="Q100" s="22" t="str">
        <f>IF($A100="","",VLOOKUP($A100,'MG Universe'!$A$2:$R$9994,17))</f>
        <v/>
      </c>
    </row>
    <row r="101" spans="1:17" x14ac:dyDescent="0.55000000000000004">
      <c r="A101" s="94"/>
      <c r="B101" s="19" t="str">
        <f>IF($A101="","",VLOOKUP($A101,'MG Universe'!$A$2:$R$9994,2))</f>
        <v/>
      </c>
      <c r="C101" s="19" t="str">
        <f>IF($A101="","",VLOOKUP($A101,'MG Universe'!$A$2:$R$9994,3))</f>
        <v/>
      </c>
      <c r="D101" s="19" t="str">
        <f>IF($A101="","",VLOOKUP($A101,'MG Universe'!$A$2:$R$9994,4))</f>
        <v/>
      </c>
      <c r="E101" s="19" t="str">
        <f>IF($A101="","",VLOOKUP($A101,'MG Universe'!$A$2:$R$9994,5))</f>
        <v/>
      </c>
      <c r="F101" s="20" t="str">
        <f>IF($A101="","",VLOOKUP($A101,'MG Universe'!$A$2:$R$9994,6))</f>
        <v/>
      </c>
      <c r="G101" s="22" t="str">
        <f>IF($A101="","",VLOOKUP($A101,'MG Universe'!$A$2:$R$9994,7))</f>
        <v/>
      </c>
      <c r="H101" s="22" t="str">
        <f>IF($A101="","",VLOOKUP($A101,'MG Universe'!$A$2:$R$9994,8))</f>
        <v/>
      </c>
      <c r="I101" s="23" t="str">
        <f>IF($A101="","",VLOOKUP($A101,'MG Universe'!$A$2:$R$9994,9))</f>
        <v/>
      </c>
      <c r="J101" s="19" t="str">
        <f>IF($A101="","",VLOOKUP($A101,'MG Universe'!$A$2:$R$9994,10))</f>
        <v/>
      </c>
      <c r="K101" s="23" t="str">
        <f>IF($A101="","",VLOOKUP($A101,'MG Universe'!$A$2:$R$9994,11))</f>
        <v/>
      </c>
      <c r="L101" s="19" t="str">
        <f>IF($A101="","",VLOOKUP($A101,'MG Universe'!$A$2:$R$9994,12))</f>
        <v/>
      </c>
      <c r="M101" s="19" t="str">
        <f>IF($A101="","",VLOOKUP($A101,'MG Universe'!$A$2:$R$9994,13))</f>
        <v/>
      </c>
      <c r="N101" s="22" t="str">
        <f>IF($A101="","",VLOOKUP($A101,'MG Universe'!$A$2:$R$9994,14))</f>
        <v/>
      </c>
      <c r="O101" s="23" t="str">
        <f>IF($A101="","",VLOOKUP($A101,'MG Universe'!$A$2:$R$9994,15))</f>
        <v/>
      </c>
      <c r="P101" s="19" t="str">
        <f>IF($A101="","",VLOOKUP($A101,'MG Universe'!$A$2:$R$9994,16))</f>
        <v/>
      </c>
      <c r="Q101" s="22" t="str">
        <f>IF($A101="","",VLOOKUP($A101,'MG Universe'!$A$2:$R$9994,17))</f>
        <v/>
      </c>
    </row>
  </sheetData>
  <sheetProtection password="C7C2" sheet="1" objects="1" scenarios="1"/>
  <protectedRanges>
    <protectedRange sqref="A2:A101" name="Watch List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/>
  </sheetViews>
  <sheetFormatPr defaultRowHeight="14.4" x14ac:dyDescent="0.55000000000000004"/>
  <cols>
    <col min="2" max="2" width="30.83984375" bestFit="1" customWidth="1"/>
    <col min="3" max="3" width="12.41796875" customWidth="1"/>
    <col min="4" max="4" width="8.26171875" bestFit="1" customWidth="1"/>
    <col min="5" max="5" width="8.15625" bestFit="1" customWidth="1"/>
    <col min="6" max="6" width="8" bestFit="1" customWidth="1"/>
    <col min="7" max="7" width="10.68359375" style="21" bestFit="1" customWidth="1"/>
    <col min="8" max="8" width="11.68359375" customWidth="1"/>
    <col min="9" max="9" width="10.15625" style="16" bestFit="1" customWidth="1"/>
    <col min="10" max="10" width="10.15625" style="8" bestFit="1" customWidth="1"/>
    <col min="11" max="11" width="7" style="7" bestFit="1" customWidth="1"/>
    <col min="12" max="12" width="9.15625" style="8" bestFit="1" customWidth="1"/>
    <col min="13" max="13" width="5.578125" style="7" bestFit="1" customWidth="1"/>
    <col min="14" max="14" width="7.68359375" style="7" bestFit="1" customWidth="1"/>
    <col min="15" max="15" width="9.68359375" style="16" bestFit="1" customWidth="1"/>
    <col min="16" max="16" width="9.83984375" style="8" bestFit="1" customWidth="1"/>
    <col min="17" max="17" width="9.15625" style="111"/>
    <col min="18" max="18" width="9" style="16" bestFit="1" customWidth="1"/>
  </cols>
  <sheetData>
    <row r="1" spans="1:18" ht="72" x14ac:dyDescent="0.55000000000000004">
      <c r="A1" s="95" t="str">
        <f>'MG Universe'!A1</f>
        <v>Ticker</v>
      </c>
      <c r="B1" s="128" t="str">
        <f>'MG Universe'!B1</f>
        <v>Name with Link</v>
      </c>
      <c r="C1" s="27" t="s">
        <v>21</v>
      </c>
      <c r="D1" s="27" t="str">
        <f>'MG Universe'!D1</f>
        <v>Investor Type</v>
      </c>
      <c r="E1" s="27" t="str">
        <f>'MG Universe'!E1</f>
        <v>MG Opinion</v>
      </c>
      <c r="F1" s="27" t="str">
        <f>'MG Universe'!F1</f>
        <v>Full MG Rating</v>
      </c>
      <c r="G1" s="28" t="str">
        <f>'MG Universe'!G1</f>
        <v>Latest Valuation Date</v>
      </c>
      <c r="H1" s="29" t="str">
        <f>'MG Universe'!H1</f>
        <v>MG Value</v>
      </c>
      <c r="I1" s="29" t="str">
        <f>'MG Universe'!I1</f>
        <v>Recent Price</v>
      </c>
      <c r="J1" s="30" t="str">
        <f>'MG Universe'!J1</f>
        <v>Price as a percent of Value</v>
      </c>
      <c r="K1" s="104" t="str">
        <f>'MG Universe'!K1</f>
        <v>PEmg Ratio</v>
      </c>
      <c r="L1" s="30" t="str">
        <f>'MG Universe'!L1</f>
        <v>Div. Yield</v>
      </c>
      <c r="M1" s="104" t="str">
        <f>'MG Universe'!M1</f>
        <v>Beta</v>
      </c>
      <c r="N1" s="104" t="str">
        <f>'MG Universe'!N1</f>
        <v>Current Ratio</v>
      </c>
      <c r="O1" s="29" t="str">
        <f>'MG Universe'!O1</f>
        <v>NCAV</v>
      </c>
      <c r="P1" s="30" t="str">
        <f>'MG Universe'!P1</f>
        <v>Market-implied Growth Rate</v>
      </c>
      <c r="Q1" s="108" t="str">
        <f>'MG Universe'!Q1</f>
        <v>Consecutive Years of Dividend Growth</v>
      </c>
      <c r="R1" s="29" t="str">
        <f>'MG Universe'!R1</f>
        <v>Graham Number</v>
      </c>
    </row>
    <row r="2" spans="1:18" x14ac:dyDescent="0.55000000000000004">
      <c r="A2" s="18" t="s">
        <v>22</v>
      </c>
      <c r="B2" s="129" t="str">
        <f>VLOOKUP($A2,'MG Universe'!$A$2:$R$9994,2)</f>
        <v>Applied Materials, Inc.</v>
      </c>
      <c r="C2" s="19" t="str">
        <f>VLOOKUP($A2,'MG Universe'!$A$2:$R$9994,3)</f>
        <v>B-</v>
      </c>
      <c r="D2" s="19" t="str">
        <f>VLOOKUP($A2,'MG Universe'!$A$2:$R$9994,4)</f>
        <v>E</v>
      </c>
      <c r="E2" s="19" t="str">
        <f>VLOOKUP($A2,'MG Universe'!$A$2:$R$9994,5)</f>
        <v>F</v>
      </c>
      <c r="F2" s="20" t="str">
        <f>VLOOKUP($A2,'MG Universe'!$A$2:$R$9994,6)</f>
        <v>EF</v>
      </c>
      <c r="G2" s="103">
        <f>VLOOKUP($A2,'MG Universe'!$A$2:$R$9994,7)</f>
        <v>42426</v>
      </c>
      <c r="H2" s="22">
        <f>VLOOKUP($A2,'MG Universe'!$A$2:$R$9994,8)</f>
        <v>21.88</v>
      </c>
      <c r="I2" s="22">
        <f>VLOOKUP($A2,'MG Universe'!$A$2:$R$9994,9)</f>
        <v>19.489999999999998</v>
      </c>
      <c r="J2" s="23">
        <f>VLOOKUP($A2,'MG Universe'!$A$2:$R$9994,10)</f>
        <v>0.89080000000000004</v>
      </c>
      <c r="K2" s="105">
        <f>VLOOKUP($A2,'MG Universe'!$A$2:$R$9994,11)</f>
        <v>22.15</v>
      </c>
      <c r="L2" s="23">
        <f>VLOOKUP($A2,'MG Universe'!$A$2:$R$9994,12)</f>
        <v>2.0500000000000001E-2</v>
      </c>
      <c r="M2" s="106">
        <f>VLOOKUP($A2,'MG Universe'!$A$2:$R$9994,13)</f>
        <v>1.8</v>
      </c>
      <c r="N2" s="107">
        <f>VLOOKUP($A2,'MG Universe'!$A$2:$R$9994,14)</f>
        <v>3</v>
      </c>
      <c r="O2" s="22">
        <f>VLOOKUP($A2,'MG Universe'!$A$2:$R$9994,15)</f>
        <v>0.65</v>
      </c>
      <c r="P2" s="23">
        <f>VLOOKUP($A2,'MG Universe'!$A$2:$R$9994,16)</f>
        <v>6.8199999999999997E-2</v>
      </c>
      <c r="Q2" s="109">
        <f>VLOOKUP($A2,'MG Universe'!$A$2:$R$9994,17)</f>
        <v>0</v>
      </c>
      <c r="R2" s="22">
        <f>VLOOKUP($A2,'MG Universe'!$A$2:$R$9994,18)</f>
        <v>12.57</v>
      </c>
    </row>
    <row r="3" spans="1:18" x14ac:dyDescent="0.55000000000000004">
      <c r="A3" s="18" t="s">
        <v>23</v>
      </c>
      <c r="B3" s="129" t="str">
        <f>VLOOKUP($A3,'MG Universe'!$A$2:$R$9994,2)</f>
        <v>E I Du Pont De Nemours And Co</v>
      </c>
      <c r="C3" s="19" t="str">
        <f>VLOOKUP($A3,'MG Universe'!$A$2:$R$9994,3)</f>
        <v>C+</v>
      </c>
      <c r="D3" s="19" t="str">
        <f>VLOOKUP($A3,'MG Universe'!$A$2:$R$9994,4)</f>
        <v>E</v>
      </c>
      <c r="E3" s="19" t="str">
        <f>VLOOKUP($A3,'MG Universe'!$A$2:$R$9994,5)</f>
        <v>O</v>
      </c>
      <c r="F3" s="20" t="str">
        <f>VLOOKUP($A3,'MG Universe'!$A$2:$R$9994,6)</f>
        <v>EO</v>
      </c>
      <c r="G3" s="103">
        <f>VLOOKUP($A3,'MG Universe'!$A$2:$R$9994,7)</f>
        <v>42426</v>
      </c>
      <c r="H3" s="22">
        <f>VLOOKUP($A3,'MG Universe'!$A$2:$R$9994,8)</f>
        <v>33.74</v>
      </c>
      <c r="I3" s="22">
        <f>VLOOKUP($A3,'MG Universe'!$A$2:$R$9994,9)</f>
        <v>62.17</v>
      </c>
      <c r="J3" s="23">
        <f>VLOOKUP($A3,'MG Universe'!$A$2:$R$9994,10)</f>
        <v>1.8426</v>
      </c>
      <c r="K3" s="105">
        <f>VLOOKUP($A3,'MG Universe'!$A$2:$R$9994,11)</f>
        <v>19.37</v>
      </c>
      <c r="L3" s="23">
        <f>VLOOKUP($A3,'MG Universe'!$A$2:$R$9994,12)</f>
        <v>2.4400000000000002E-2</v>
      </c>
      <c r="M3" s="106">
        <f>VLOOKUP($A3,'MG Universe'!$A$2:$R$9994,13)</f>
        <v>1.8</v>
      </c>
      <c r="N3" s="107">
        <f>VLOOKUP($A3,'MG Universe'!$A$2:$R$9994,14)</f>
        <v>1.71</v>
      </c>
      <c r="O3" s="22">
        <f>VLOOKUP($A3,'MG Universe'!$A$2:$R$9994,15)</f>
        <v>-14.92</v>
      </c>
      <c r="P3" s="23">
        <f>VLOOKUP($A3,'MG Universe'!$A$2:$R$9994,16)</f>
        <v>5.4300000000000001E-2</v>
      </c>
      <c r="Q3" s="109">
        <f>VLOOKUP($A3,'MG Universe'!$A$2:$R$9994,17)</f>
        <v>0</v>
      </c>
      <c r="R3" s="22">
        <f>VLOOKUP($A3,'MG Universe'!$A$2:$R$9994,18)</f>
        <v>27.03</v>
      </c>
    </row>
    <row r="4" spans="1:18" x14ac:dyDescent="0.55000000000000004">
      <c r="A4" s="18"/>
      <c r="B4" s="129"/>
      <c r="C4" s="19"/>
      <c r="D4" s="19"/>
      <c r="E4" s="19"/>
      <c r="F4" s="20"/>
      <c r="G4" s="103"/>
      <c r="H4" s="22"/>
      <c r="I4" s="22"/>
      <c r="J4" s="23"/>
      <c r="K4" s="105"/>
      <c r="L4" s="23"/>
      <c r="M4" s="106"/>
      <c r="N4" s="107"/>
      <c r="O4" s="22"/>
      <c r="P4" s="23"/>
      <c r="Q4" s="109"/>
      <c r="R4" s="22"/>
    </row>
    <row r="5" spans="1:18" x14ac:dyDescent="0.55000000000000004">
      <c r="A5" s="18"/>
      <c r="B5" s="129"/>
      <c r="C5" s="19"/>
      <c r="D5" s="19"/>
      <c r="E5" s="19"/>
      <c r="F5" s="20"/>
      <c r="G5" s="103"/>
      <c r="H5" s="22"/>
      <c r="I5" s="22"/>
      <c r="J5" s="23"/>
      <c r="K5" s="105"/>
      <c r="L5" s="23"/>
      <c r="M5" s="106"/>
      <c r="N5" s="107"/>
      <c r="O5" s="22"/>
      <c r="P5" s="23"/>
      <c r="Q5" s="109"/>
      <c r="R5" s="22"/>
    </row>
    <row r="6" spans="1:18" x14ac:dyDescent="0.55000000000000004">
      <c r="A6" s="18"/>
      <c r="B6" s="129"/>
      <c r="C6" s="19"/>
      <c r="D6" s="19"/>
      <c r="E6" s="19"/>
      <c r="F6" s="20"/>
      <c r="G6" s="103"/>
      <c r="H6" s="22"/>
      <c r="I6" s="22"/>
      <c r="J6" s="23"/>
      <c r="K6" s="105"/>
      <c r="L6" s="23"/>
      <c r="M6" s="106"/>
      <c r="N6" s="107"/>
      <c r="O6" s="22"/>
      <c r="P6" s="23"/>
      <c r="Q6" s="109"/>
      <c r="R6" s="22"/>
    </row>
    <row r="7" spans="1:18" x14ac:dyDescent="0.55000000000000004">
      <c r="A7" s="18"/>
      <c r="B7" s="129"/>
      <c r="C7" s="19"/>
      <c r="D7" s="19"/>
      <c r="E7" s="19"/>
      <c r="F7" s="20"/>
      <c r="G7" s="103"/>
      <c r="H7" s="22"/>
      <c r="I7" s="22"/>
      <c r="J7" s="23"/>
      <c r="K7" s="105"/>
      <c r="L7" s="23"/>
      <c r="M7" s="106"/>
      <c r="N7" s="107"/>
      <c r="O7" s="22"/>
      <c r="P7" s="23"/>
      <c r="Q7" s="109"/>
      <c r="R7" s="22"/>
    </row>
    <row r="8" spans="1:18" x14ac:dyDescent="0.55000000000000004">
      <c r="A8" s="18"/>
      <c r="B8" s="129"/>
      <c r="C8" s="19"/>
      <c r="D8" s="19"/>
      <c r="E8" s="19"/>
      <c r="F8" s="20"/>
      <c r="G8" s="103"/>
      <c r="H8" s="22"/>
      <c r="I8" s="22"/>
      <c r="J8" s="23"/>
      <c r="K8" s="105"/>
      <c r="L8" s="23"/>
      <c r="M8" s="106"/>
      <c r="N8" s="107"/>
      <c r="O8" s="22"/>
      <c r="P8" s="23"/>
      <c r="Q8" s="109"/>
      <c r="R8" s="22"/>
    </row>
    <row r="9" spans="1:18" x14ac:dyDescent="0.55000000000000004">
      <c r="A9" s="18"/>
      <c r="B9" s="129"/>
      <c r="C9" s="19"/>
      <c r="D9" s="19"/>
      <c r="E9" s="19"/>
      <c r="F9" s="20"/>
      <c r="G9" s="103"/>
      <c r="H9" s="22"/>
      <c r="I9" s="22"/>
      <c r="J9" s="23"/>
      <c r="K9" s="105"/>
      <c r="L9" s="23"/>
      <c r="M9" s="106"/>
      <c r="N9" s="107"/>
      <c r="O9" s="22"/>
      <c r="P9" s="23"/>
      <c r="Q9" s="109"/>
      <c r="R9" s="22"/>
    </row>
    <row r="10" spans="1:18" x14ac:dyDescent="0.55000000000000004">
      <c r="A10" s="18"/>
      <c r="B10" s="129"/>
      <c r="C10" s="19"/>
      <c r="D10" s="19"/>
      <c r="E10" s="19"/>
      <c r="F10" s="20"/>
      <c r="G10" s="103"/>
      <c r="H10" s="22"/>
      <c r="I10" s="22"/>
      <c r="J10" s="23"/>
      <c r="K10" s="105"/>
      <c r="L10" s="23"/>
      <c r="M10" s="106"/>
      <c r="N10" s="107"/>
      <c r="O10" s="22"/>
      <c r="P10" s="23"/>
      <c r="Q10" s="109"/>
      <c r="R10" s="22"/>
    </row>
    <row r="11" spans="1:18" x14ac:dyDescent="0.55000000000000004">
      <c r="A11" s="18"/>
      <c r="B11" s="129"/>
      <c r="C11" s="19"/>
      <c r="D11" s="19"/>
      <c r="E11" s="19"/>
      <c r="F11" s="20"/>
      <c r="G11" s="103"/>
      <c r="H11" s="22"/>
      <c r="I11" s="22"/>
      <c r="J11" s="23"/>
      <c r="K11" s="105"/>
      <c r="L11" s="23"/>
      <c r="M11" s="106"/>
      <c r="N11" s="107"/>
      <c r="O11" s="22"/>
      <c r="P11" s="23"/>
      <c r="Q11" s="109"/>
      <c r="R11" s="22"/>
    </row>
    <row r="12" spans="1:18" x14ac:dyDescent="0.55000000000000004">
      <c r="A12" s="18"/>
      <c r="B12" s="129"/>
      <c r="C12" s="19"/>
      <c r="D12" s="19"/>
      <c r="E12" s="19"/>
      <c r="F12" s="20"/>
      <c r="G12" s="103"/>
      <c r="H12" s="22"/>
      <c r="I12" s="22"/>
      <c r="J12" s="23"/>
      <c r="K12" s="105"/>
      <c r="L12" s="23"/>
      <c r="M12" s="106"/>
      <c r="N12" s="107"/>
      <c r="O12" s="22"/>
      <c r="P12" s="23"/>
      <c r="Q12" s="109"/>
      <c r="R12" s="22"/>
    </row>
    <row r="13" spans="1:18" x14ac:dyDescent="0.55000000000000004">
      <c r="A13" s="18"/>
      <c r="B13" s="129"/>
      <c r="C13" s="19"/>
      <c r="D13" s="19"/>
      <c r="E13" s="19"/>
      <c r="F13" s="20"/>
      <c r="G13" s="103"/>
      <c r="H13" s="22"/>
      <c r="I13" s="22"/>
      <c r="J13" s="23"/>
      <c r="K13" s="105"/>
      <c r="L13" s="23"/>
      <c r="M13" s="106"/>
      <c r="N13" s="107"/>
      <c r="O13" s="22"/>
      <c r="P13" s="23"/>
      <c r="Q13" s="109"/>
      <c r="R13" s="22"/>
    </row>
    <row r="14" spans="1:18" x14ac:dyDescent="0.55000000000000004">
      <c r="A14" s="18"/>
      <c r="B14" s="129"/>
      <c r="C14" s="19"/>
      <c r="D14" s="19"/>
      <c r="E14" s="19"/>
      <c r="F14" s="20"/>
      <c r="G14" s="103"/>
      <c r="H14" s="22"/>
      <c r="I14" s="22"/>
      <c r="J14" s="23"/>
      <c r="K14" s="105"/>
      <c r="L14" s="23"/>
      <c r="M14" s="106"/>
      <c r="N14" s="107"/>
      <c r="O14" s="22"/>
      <c r="P14" s="23"/>
      <c r="Q14" s="109"/>
      <c r="R14" s="22"/>
    </row>
    <row r="15" spans="1:18" x14ac:dyDescent="0.55000000000000004">
      <c r="A15" s="18"/>
      <c r="B15" s="129"/>
      <c r="C15" s="19"/>
      <c r="D15" s="19"/>
      <c r="E15" s="19"/>
      <c r="F15" s="20"/>
      <c r="G15" s="103"/>
      <c r="H15" s="22"/>
      <c r="I15" s="22"/>
      <c r="J15" s="23"/>
      <c r="K15" s="105"/>
      <c r="L15" s="23"/>
      <c r="M15" s="106"/>
      <c r="N15" s="107"/>
      <c r="O15" s="22"/>
      <c r="P15" s="23"/>
      <c r="Q15" s="109"/>
      <c r="R15" s="22"/>
    </row>
    <row r="16" spans="1:18" x14ac:dyDescent="0.55000000000000004">
      <c r="A16" s="18"/>
      <c r="B16" s="129"/>
      <c r="C16" s="19"/>
      <c r="D16" s="19"/>
      <c r="E16" s="19"/>
      <c r="F16" s="20"/>
      <c r="G16" s="103"/>
      <c r="H16" s="22"/>
      <c r="I16" s="22"/>
      <c r="J16" s="23"/>
      <c r="K16" s="105"/>
      <c r="L16" s="23"/>
      <c r="M16" s="106"/>
      <c r="N16" s="107"/>
      <c r="O16" s="22"/>
      <c r="P16" s="23"/>
      <c r="Q16" s="109"/>
      <c r="R16" s="22"/>
    </row>
    <row r="17" spans="1:18" x14ac:dyDescent="0.55000000000000004">
      <c r="A17" s="18"/>
      <c r="B17" s="129"/>
      <c r="C17" s="19"/>
      <c r="D17" s="19"/>
      <c r="E17" s="19"/>
      <c r="F17" s="20"/>
      <c r="G17" s="103"/>
      <c r="H17" s="22"/>
      <c r="I17" s="22"/>
      <c r="J17" s="23"/>
      <c r="K17" s="105"/>
      <c r="L17" s="23"/>
      <c r="M17" s="106"/>
      <c r="N17" s="107"/>
      <c r="O17" s="22"/>
      <c r="P17" s="23"/>
      <c r="Q17" s="109"/>
      <c r="R17" s="22"/>
    </row>
    <row r="18" spans="1:18" x14ac:dyDescent="0.55000000000000004">
      <c r="A18" s="18"/>
      <c r="B18" s="129"/>
      <c r="C18" s="19"/>
      <c r="D18" s="19"/>
      <c r="E18" s="19"/>
      <c r="F18" s="20"/>
      <c r="G18" s="103"/>
      <c r="H18" s="22"/>
      <c r="I18" s="22"/>
      <c r="J18" s="23"/>
      <c r="K18" s="105"/>
      <c r="L18" s="23"/>
      <c r="M18" s="106"/>
      <c r="N18" s="107"/>
      <c r="O18" s="22"/>
      <c r="P18" s="23"/>
      <c r="Q18" s="109"/>
      <c r="R18" s="22"/>
    </row>
    <row r="19" spans="1:18" x14ac:dyDescent="0.55000000000000004">
      <c r="A19" s="18"/>
      <c r="B19" s="129"/>
      <c r="C19" s="19"/>
      <c r="D19" s="19"/>
      <c r="E19" s="19"/>
      <c r="F19" s="20"/>
      <c r="G19" s="103"/>
      <c r="H19" s="22"/>
      <c r="I19" s="22"/>
      <c r="J19" s="23"/>
      <c r="K19" s="105"/>
      <c r="L19" s="23"/>
      <c r="M19" s="106"/>
      <c r="N19" s="107"/>
      <c r="O19" s="22"/>
      <c r="P19" s="23"/>
      <c r="Q19" s="109"/>
      <c r="R19" s="22"/>
    </row>
    <row r="20" spans="1:18" x14ac:dyDescent="0.55000000000000004">
      <c r="A20" s="18"/>
      <c r="B20" s="129"/>
      <c r="C20" s="19"/>
      <c r="D20" s="19"/>
      <c r="E20" s="19"/>
      <c r="F20" s="20"/>
      <c r="G20" s="103"/>
      <c r="H20" s="22"/>
      <c r="I20" s="22"/>
      <c r="J20" s="23"/>
      <c r="K20" s="105"/>
      <c r="L20" s="23"/>
      <c r="M20" s="106"/>
      <c r="N20" s="107"/>
      <c r="O20" s="22"/>
      <c r="P20" s="23"/>
      <c r="Q20" s="109"/>
      <c r="R20" s="22"/>
    </row>
    <row r="21" spans="1:18" x14ac:dyDescent="0.55000000000000004">
      <c r="A21" s="18"/>
      <c r="B21" s="129"/>
      <c r="C21" s="19"/>
      <c r="D21" s="19"/>
      <c r="E21" s="19"/>
      <c r="F21" s="20"/>
      <c r="G21" s="103"/>
      <c r="H21" s="22"/>
      <c r="I21" s="22"/>
      <c r="J21" s="23"/>
      <c r="K21" s="105"/>
      <c r="L21" s="23"/>
      <c r="M21" s="106"/>
      <c r="N21" s="107"/>
      <c r="O21" s="22"/>
      <c r="P21" s="23"/>
      <c r="Q21" s="109"/>
      <c r="R21" s="22"/>
    </row>
    <row r="22" spans="1:18" x14ac:dyDescent="0.55000000000000004">
      <c r="A22" s="18"/>
      <c r="B22" s="129"/>
      <c r="C22" s="19"/>
      <c r="D22" s="19"/>
      <c r="E22" s="19"/>
      <c r="F22" s="20"/>
      <c r="G22" s="103"/>
      <c r="H22" s="22"/>
      <c r="I22" s="22"/>
      <c r="J22" s="23"/>
      <c r="K22" s="105"/>
      <c r="L22" s="23"/>
      <c r="M22" s="106"/>
      <c r="N22" s="107"/>
      <c r="O22" s="22"/>
      <c r="P22" s="23"/>
      <c r="Q22" s="109"/>
      <c r="R22" s="22"/>
    </row>
    <row r="23" spans="1:18" x14ac:dyDescent="0.55000000000000004">
      <c r="A23" s="18"/>
      <c r="B23" s="129"/>
      <c r="C23" s="19"/>
      <c r="D23" s="19"/>
      <c r="E23" s="19"/>
      <c r="F23" s="20"/>
      <c r="G23" s="103"/>
      <c r="H23" s="22"/>
      <c r="I23" s="22"/>
      <c r="J23" s="23"/>
      <c r="K23" s="105"/>
      <c r="L23" s="23"/>
      <c r="M23" s="106"/>
      <c r="N23" s="107"/>
      <c r="O23" s="22"/>
      <c r="P23" s="23"/>
      <c r="Q23" s="109"/>
      <c r="R23" s="22"/>
    </row>
    <row r="24" spans="1:18" x14ac:dyDescent="0.55000000000000004">
      <c r="A24" s="18"/>
      <c r="B24" s="129"/>
      <c r="C24" s="19"/>
      <c r="D24" s="19"/>
      <c r="E24" s="19"/>
      <c r="F24" s="20"/>
      <c r="G24" s="103"/>
      <c r="H24" s="22"/>
      <c r="I24" s="22"/>
      <c r="J24" s="23"/>
      <c r="K24" s="105"/>
      <c r="L24" s="23"/>
      <c r="M24" s="106"/>
      <c r="N24" s="107"/>
      <c r="O24" s="22"/>
      <c r="P24" s="23"/>
      <c r="Q24" s="109"/>
      <c r="R24" s="22"/>
    </row>
    <row r="25" spans="1:18" x14ac:dyDescent="0.55000000000000004">
      <c r="A25" s="18"/>
      <c r="B25" s="129"/>
      <c r="C25" s="19"/>
      <c r="D25" s="19"/>
      <c r="E25" s="19"/>
      <c r="F25" s="20"/>
      <c r="G25" s="103"/>
      <c r="H25" s="22"/>
      <c r="I25" s="22"/>
      <c r="J25" s="23"/>
      <c r="K25" s="105"/>
      <c r="L25" s="23"/>
      <c r="M25" s="106"/>
      <c r="N25" s="107"/>
      <c r="O25" s="22"/>
      <c r="P25" s="23"/>
      <c r="Q25" s="109"/>
      <c r="R25" s="22"/>
    </row>
    <row r="26" spans="1:18" x14ac:dyDescent="0.55000000000000004">
      <c r="A26" s="18"/>
      <c r="B26" s="129"/>
      <c r="C26" s="19"/>
      <c r="D26" s="19"/>
      <c r="E26" s="19"/>
      <c r="F26" s="20"/>
      <c r="G26" s="103"/>
      <c r="H26" s="22"/>
      <c r="I26" s="22"/>
      <c r="J26" s="23"/>
      <c r="K26" s="105"/>
      <c r="L26" s="23"/>
      <c r="M26" s="106"/>
      <c r="N26" s="107"/>
      <c r="O26" s="22"/>
      <c r="P26" s="23"/>
      <c r="Q26" s="109"/>
      <c r="R26" s="22"/>
    </row>
    <row r="27" spans="1:18" x14ac:dyDescent="0.55000000000000004">
      <c r="A27" s="18"/>
      <c r="B27" s="129"/>
      <c r="C27" s="19"/>
      <c r="D27" s="19"/>
      <c r="E27" s="19"/>
      <c r="F27" s="20"/>
      <c r="G27" s="103"/>
      <c r="H27" s="22"/>
      <c r="I27" s="22"/>
      <c r="J27" s="23"/>
      <c r="K27" s="105"/>
      <c r="L27" s="23"/>
      <c r="M27" s="106"/>
      <c r="N27" s="107"/>
      <c r="O27" s="22"/>
      <c r="P27" s="23"/>
      <c r="Q27" s="109"/>
      <c r="R27" s="22"/>
    </row>
    <row r="28" spans="1:18" x14ac:dyDescent="0.55000000000000004">
      <c r="A28" s="18"/>
      <c r="B28" s="129"/>
      <c r="C28" s="19"/>
      <c r="D28" s="19"/>
      <c r="E28" s="19"/>
      <c r="F28" s="20"/>
      <c r="G28" s="103"/>
      <c r="H28" s="22"/>
      <c r="I28" s="22"/>
      <c r="J28" s="23"/>
      <c r="K28" s="105"/>
      <c r="L28" s="23"/>
      <c r="M28" s="106"/>
      <c r="N28" s="107"/>
      <c r="O28" s="22"/>
      <c r="P28" s="23"/>
      <c r="Q28" s="109"/>
      <c r="R28" s="22"/>
    </row>
    <row r="29" spans="1:18" x14ac:dyDescent="0.55000000000000004">
      <c r="A29" s="18"/>
      <c r="B29" s="129"/>
      <c r="C29" s="19"/>
      <c r="D29" s="19"/>
      <c r="E29" s="19"/>
      <c r="F29" s="20"/>
      <c r="G29" s="103"/>
      <c r="H29" s="22"/>
      <c r="I29" s="22"/>
      <c r="J29" s="23"/>
      <c r="K29" s="105"/>
      <c r="L29" s="23"/>
      <c r="M29" s="106"/>
      <c r="N29" s="107"/>
      <c r="O29" s="22"/>
      <c r="P29" s="23"/>
      <c r="Q29" s="109"/>
      <c r="R29" s="22"/>
    </row>
    <row r="30" spans="1:18" x14ac:dyDescent="0.55000000000000004">
      <c r="A30" s="18"/>
      <c r="B30" s="129"/>
      <c r="C30" s="19"/>
      <c r="D30" s="19"/>
      <c r="E30" s="19"/>
      <c r="F30" s="20"/>
      <c r="G30" s="103"/>
      <c r="H30" s="22"/>
      <c r="I30" s="22"/>
      <c r="J30" s="23"/>
      <c r="K30" s="105"/>
      <c r="L30" s="23"/>
      <c r="M30" s="106"/>
      <c r="N30" s="107"/>
      <c r="O30" s="22"/>
      <c r="P30" s="23"/>
      <c r="Q30" s="109"/>
      <c r="R30" s="22"/>
    </row>
    <row r="31" spans="1:18" x14ac:dyDescent="0.55000000000000004">
      <c r="A31" s="18"/>
      <c r="B31" s="129"/>
      <c r="C31" s="19"/>
      <c r="D31" s="19"/>
      <c r="E31" s="19"/>
      <c r="F31" s="20"/>
      <c r="G31" s="103"/>
      <c r="H31" s="22"/>
      <c r="I31" s="22"/>
      <c r="J31" s="23"/>
      <c r="K31" s="105"/>
      <c r="L31" s="23"/>
      <c r="M31" s="106"/>
      <c r="N31" s="107"/>
      <c r="O31" s="22"/>
      <c r="P31" s="23"/>
      <c r="Q31" s="109"/>
      <c r="R31" s="22"/>
    </row>
    <row r="32" spans="1:18" x14ac:dyDescent="0.55000000000000004">
      <c r="A32" s="18"/>
      <c r="B32" s="129"/>
      <c r="C32" s="19"/>
      <c r="D32" s="19"/>
      <c r="E32" s="19"/>
      <c r="F32" s="20"/>
      <c r="G32" s="103"/>
      <c r="H32" s="22"/>
      <c r="I32" s="22"/>
      <c r="J32" s="23"/>
      <c r="K32" s="105"/>
      <c r="L32" s="23"/>
      <c r="M32" s="106"/>
      <c r="N32" s="107"/>
      <c r="O32" s="22"/>
      <c r="P32" s="23"/>
      <c r="Q32" s="109"/>
      <c r="R32" s="22"/>
    </row>
    <row r="33" spans="1:18" x14ac:dyDescent="0.55000000000000004">
      <c r="A33" s="18"/>
      <c r="B33" s="129"/>
      <c r="C33" s="19"/>
      <c r="D33" s="19"/>
      <c r="E33" s="19"/>
      <c r="F33" s="20"/>
      <c r="G33" s="103"/>
      <c r="H33" s="22"/>
      <c r="I33" s="22"/>
      <c r="J33" s="23"/>
      <c r="K33" s="105"/>
      <c r="L33" s="23"/>
      <c r="M33" s="106"/>
      <c r="N33" s="107"/>
      <c r="O33" s="22"/>
      <c r="P33" s="23"/>
      <c r="Q33" s="109"/>
      <c r="R33" s="22"/>
    </row>
    <row r="34" spans="1:18" x14ac:dyDescent="0.55000000000000004">
      <c r="A34" s="19"/>
      <c r="B34" s="129"/>
      <c r="C34" s="19"/>
      <c r="D34" s="19"/>
      <c r="E34" s="19"/>
      <c r="F34" s="19"/>
      <c r="G34" s="20"/>
      <c r="H34" s="22"/>
      <c r="I34" s="22"/>
      <c r="J34" s="23"/>
      <c r="K34" s="106"/>
      <c r="L34" s="23"/>
      <c r="M34" s="106"/>
      <c r="N34" s="106"/>
      <c r="O34" s="22"/>
      <c r="P34" s="23"/>
      <c r="Q34" s="110"/>
      <c r="R34" s="22"/>
    </row>
    <row r="35" spans="1:18" x14ac:dyDescent="0.55000000000000004">
      <c r="A35" s="19"/>
      <c r="B35" s="129"/>
      <c r="C35" s="19"/>
      <c r="D35" s="19"/>
      <c r="E35" s="19"/>
      <c r="F35" s="19"/>
      <c r="G35" s="20"/>
      <c r="H35" s="22"/>
      <c r="I35" s="22"/>
      <c r="J35" s="23"/>
      <c r="K35" s="106"/>
      <c r="L35" s="23"/>
      <c r="M35" s="106"/>
      <c r="N35" s="106"/>
      <c r="O35" s="22"/>
      <c r="P35" s="23"/>
      <c r="Q35" s="110"/>
      <c r="R35" s="22"/>
    </row>
    <row r="36" spans="1:18" x14ac:dyDescent="0.55000000000000004">
      <c r="A36" s="19"/>
      <c r="B36" s="129"/>
      <c r="C36" s="19"/>
      <c r="D36" s="19"/>
      <c r="E36" s="19"/>
      <c r="F36" s="19"/>
      <c r="G36" s="20"/>
      <c r="H36" s="22"/>
      <c r="I36" s="22"/>
      <c r="J36" s="23"/>
      <c r="K36" s="106"/>
      <c r="L36" s="23"/>
      <c r="M36" s="106"/>
      <c r="N36" s="106"/>
      <c r="O36" s="22"/>
      <c r="P36" s="23"/>
      <c r="Q36" s="110"/>
      <c r="R36" s="22"/>
    </row>
    <row r="37" spans="1:18" x14ac:dyDescent="0.55000000000000004">
      <c r="A37" s="19"/>
      <c r="B37" s="129"/>
      <c r="C37" s="19"/>
      <c r="D37" s="19"/>
      <c r="E37" s="19"/>
      <c r="F37" s="19"/>
      <c r="G37" s="20"/>
      <c r="H37" s="22"/>
      <c r="I37" s="22"/>
      <c r="J37" s="23"/>
      <c r="K37" s="106"/>
      <c r="L37" s="23"/>
      <c r="M37" s="106"/>
      <c r="N37" s="106"/>
      <c r="O37" s="22"/>
      <c r="P37" s="23"/>
      <c r="Q37" s="110"/>
      <c r="R37" s="22"/>
    </row>
    <row r="38" spans="1:18" x14ac:dyDescent="0.55000000000000004">
      <c r="A38" s="19"/>
      <c r="B38" s="129"/>
      <c r="C38" s="19"/>
      <c r="D38" s="19"/>
      <c r="E38" s="19"/>
      <c r="F38" s="19"/>
      <c r="G38" s="20"/>
      <c r="H38" s="22"/>
      <c r="I38" s="22"/>
      <c r="J38" s="23"/>
      <c r="K38" s="106"/>
      <c r="L38" s="23"/>
      <c r="M38" s="106"/>
      <c r="N38" s="106"/>
      <c r="O38" s="22"/>
      <c r="P38" s="23"/>
      <c r="Q38" s="110"/>
      <c r="R38" s="22"/>
    </row>
    <row r="39" spans="1:18" x14ac:dyDescent="0.55000000000000004">
      <c r="A39" s="19"/>
      <c r="B39" s="129"/>
      <c r="C39" s="19"/>
      <c r="D39" s="19"/>
      <c r="E39" s="19"/>
      <c r="F39" s="19"/>
      <c r="G39" s="20"/>
      <c r="H39" s="22"/>
      <c r="I39" s="22"/>
      <c r="J39" s="23"/>
      <c r="K39" s="106"/>
      <c r="L39" s="23"/>
      <c r="M39" s="106"/>
      <c r="N39" s="106"/>
      <c r="O39" s="22"/>
      <c r="P39" s="23"/>
      <c r="Q39" s="110"/>
      <c r="R39" s="22"/>
    </row>
    <row r="40" spans="1:18" x14ac:dyDescent="0.55000000000000004">
      <c r="A40" s="19"/>
      <c r="B40" s="129"/>
      <c r="C40" s="19"/>
      <c r="D40" s="19"/>
      <c r="E40" s="19"/>
      <c r="F40" s="19"/>
      <c r="G40" s="20"/>
      <c r="H40" s="22"/>
      <c r="I40" s="22"/>
      <c r="J40" s="23"/>
      <c r="K40" s="106"/>
      <c r="L40" s="23"/>
      <c r="M40" s="106"/>
      <c r="N40" s="106"/>
      <c r="O40" s="22"/>
      <c r="P40" s="23"/>
      <c r="Q40" s="110"/>
      <c r="R40" s="22"/>
    </row>
    <row r="41" spans="1:18" x14ac:dyDescent="0.55000000000000004">
      <c r="A41" s="19"/>
      <c r="B41" s="129"/>
      <c r="C41" s="19"/>
      <c r="D41" s="19"/>
      <c r="E41" s="19"/>
      <c r="F41" s="19"/>
      <c r="G41" s="20"/>
      <c r="H41" s="22"/>
      <c r="I41" s="22"/>
      <c r="J41" s="23"/>
      <c r="K41" s="106"/>
      <c r="L41" s="23"/>
      <c r="M41" s="106"/>
      <c r="N41" s="106"/>
      <c r="O41" s="22"/>
      <c r="P41" s="23"/>
      <c r="Q41" s="110"/>
      <c r="R41" s="22"/>
    </row>
    <row r="42" spans="1:18" x14ac:dyDescent="0.55000000000000004">
      <c r="A42" s="19"/>
      <c r="B42" s="129"/>
      <c r="C42" s="19"/>
      <c r="D42" s="19"/>
      <c r="E42" s="19"/>
      <c r="F42" s="19"/>
      <c r="G42" s="20"/>
      <c r="H42" s="22"/>
      <c r="I42" s="22"/>
      <c r="J42" s="23"/>
      <c r="K42" s="106"/>
      <c r="L42" s="23"/>
      <c r="M42" s="106"/>
      <c r="N42" s="106"/>
      <c r="O42" s="22"/>
      <c r="P42" s="23"/>
      <c r="Q42" s="110"/>
      <c r="R42" s="22"/>
    </row>
    <row r="43" spans="1:18" x14ac:dyDescent="0.55000000000000004">
      <c r="A43" s="19"/>
      <c r="B43" s="129"/>
      <c r="C43" s="19"/>
      <c r="D43" s="19"/>
      <c r="E43" s="19"/>
      <c r="F43" s="19"/>
      <c r="G43" s="20"/>
      <c r="H43" s="22"/>
      <c r="I43" s="22"/>
      <c r="J43" s="23"/>
      <c r="K43" s="106"/>
      <c r="L43" s="23"/>
      <c r="M43" s="106"/>
      <c r="N43" s="106"/>
      <c r="O43" s="22"/>
      <c r="P43" s="23"/>
      <c r="Q43" s="110"/>
      <c r="R43" s="22"/>
    </row>
    <row r="44" spans="1:18" x14ac:dyDescent="0.55000000000000004">
      <c r="A44" s="19"/>
      <c r="B44" s="129"/>
      <c r="C44" s="19"/>
      <c r="D44" s="19"/>
      <c r="E44" s="19"/>
      <c r="F44" s="19"/>
      <c r="G44" s="20"/>
      <c r="H44" s="22"/>
      <c r="I44" s="22"/>
      <c r="J44" s="23"/>
      <c r="K44" s="106"/>
      <c r="L44" s="23"/>
      <c r="M44" s="106"/>
      <c r="N44" s="106"/>
      <c r="O44" s="22"/>
      <c r="P44" s="23"/>
      <c r="Q44" s="110"/>
      <c r="R44" s="22"/>
    </row>
    <row r="45" spans="1:18" x14ac:dyDescent="0.55000000000000004">
      <c r="A45" s="19"/>
      <c r="B45" s="129"/>
      <c r="C45" s="19"/>
      <c r="D45" s="19"/>
      <c r="E45" s="19"/>
      <c r="F45" s="19"/>
      <c r="G45" s="20"/>
      <c r="H45" s="22"/>
      <c r="I45" s="22"/>
      <c r="J45" s="23"/>
      <c r="K45" s="106"/>
      <c r="L45" s="23"/>
      <c r="M45" s="106"/>
      <c r="N45" s="106"/>
      <c r="O45" s="22"/>
      <c r="P45" s="23"/>
      <c r="Q45" s="110"/>
      <c r="R45" s="22"/>
    </row>
    <row r="46" spans="1:18" x14ac:dyDescent="0.55000000000000004">
      <c r="A46" s="19"/>
      <c r="B46" s="129"/>
      <c r="C46" s="19"/>
      <c r="D46" s="19"/>
      <c r="E46" s="19"/>
      <c r="F46" s="19"/>
      <c r="G46" s="20"/>
      <c r="H46" s="22"/>
      <c r="I46" s="22"/>
      <c r="J46" s="23"/>
      <c r="K46" s="106"/>
      <c r="L46" s="23"/>
      <c r="M46" s="106"/>
      <c r="N46" s="106"/>
      <c r="O46" s="22"/>
      <c r="P46" s="23"/>
      <c r="Q46" s="110"/>
      <c r="R46" s="22"/>
    </row>
    <row r="47" spans="1:18" x14ac:dyDescent="0.55000000000000004">
      <c r="A47" s="19"/>
      <c r="B47" s="129"/>
      <c r="C47" s="19"/>
      <c r="D47" s="19"/>
      <c r="E47" s="19"/>
      <c r="F47" s="19"/>
      <c r="G47" s="20"/>
      <c r="H47" s="22"/>
      <c r="I47" s="22"/>
      <c r="J47" s="23"/>
      <c r="K47" s="106"/>
      <c r="L47" s="23"/>
      <c r="M47" s="106"/>
      <c r="N47" s="106"/>
      <c r="O47" s="22"/>
      <c r="P47" s="23"/>
      <c r="Q47" s="110"/>
      <c r="R47" s="22"/>
    </row>
    <row r="48" spans="1:18" x14ac:dyDescent="0.55000000000000004">
      <c r="A48" s="19"/>
      <c r="B48" s="129"/>
      <c r="C48" s="19"/>
      <c r="D48" s="19"/>
      <c r="E48" s="19"/>
      <c r="F48" s="19"/>
      <c r="G48" s="20"/>
      <c r="H48" s="22"/>
      <c r="I48" s="22"/>
      <c r="J48" s="23"/>
      <c r="K48" s="106"/>
      <c r="L48" s="23"/>
      <c r="M48" s="106"/>
      <c r="N48" s="106"/>
      <c r="O48" s="22"/>
      <c r="P48" s="23"/>
      <c r="Q48" s="110"/>
      <c r="R48" s="22"/>
    </row>
    <row r="49" spans="1:18" x14ac:dyDescent="0.55000000000000004">
      <c r="A49" s="19"/>
      <c r="B49" s="129"/>
      <c r="C49" s="19"/>
      <c r="D49" s="19"/>
      <c r="E49" s="19"/>
      <c r="F49" s="19"/>
      <c r="G49" s="20"/>
      <c r="H49" s="22"/>
      <c r="I49" s="22"/>
      <c r="J49" s="23"/>
      <c r="K49" s="106"/>
      <c r="L49" s="23"/>
      <c r="M49" s="106"/>
      <c r="N49" s="106"/>
      <c r="O49" s="22"/>
      <c r="P49" s="23"/>
      <c r="Q49" s="110"/>
      <c r="R49" s="22"/>
    </row>
    <row r="50" spans="1:18" x14ac:dyDescent="0.55000000000000004">
      <c r="A50" s="19"/>
      <c r="B50" s="129"/>
      <c r="C50" s="19"/>
      <c r="D50" s="19"/>
      <c r="E50" s="19"/>
      <c r="F50" s="19"/>
      <c r="G50" s="20"/>
      <c r="H50" s="22"/>
      <c r="I50" s="22"/>
      <c r="J50" s="23"/>
      <c r="K50" s="106"/>
      <c r="L50" s="23"/>
      <c r="M50" s="106"/>
      <c r="N50" s="106"/>
      <c r="O50" s="22"/>
      <c r="P50" s="23"/>
      <c r="Q50" s="110"/>
      <c r="R50" s="22"/>
    </row>
    <row r="51" spans="1:18" x14ac:dyDescent="0.55000000000000004">
      <c r="A51" s="19"/>
      <c r="B51" s="19"/>
      <c r="C51" s="19"/>
      <c r="D51" s="19"/>
      <c r="E51" s="19"/>
      <c r="F51" s="19"/>
      <c r="G51" s="20"/>
      <c r="H51" s="22"/>
      <c r="I51" s="22"/>
      <c r="J51" s="23"/>
      <c r="K51" s="106"/>
      <c r="L51" s="23"/>
      <c r="M51" s="106"/>
      <c r="N51" s="106"/>
      <c r="O51" s="22"/>
      <c r="P51" s="23"/>
      <c r="Q51" s="110"/>
      <c r="R51" s="22"/>
    </row>
    <row r="52" spans="1:18" x14ac:dyDescent="0.55000000000000004">
      <c r="A52" s="19"/>
      <c r="B52" s="19"/>
      <c r="C52" s="19"/>
      <c r="D52" s="19"/>
      <c r="E52" s="19"/>
      <c r="F52" s="19"/>
      <c r="G52" s="20"/>
      <c r="H52" s="22"/>
      <c r="I52" s="22"/>
      <c r="J52" s="23"/>
      <c r="K52" s="106"/>
      <c r="L52" s="23"/>
      <c r="M52" s="106"/>
      <c r="N52" s="106"/>
      <c r="O52" s="22"/>
      <c r="P52" s="23"/>
      <c r="Q52" s="110"/>
      <c r="R52" s="22"/>
    </row>
  </sheetData>
  <sheetProtection algorithmName="SHA-512" hashValue="esQnffic1S4lRwwkHCuVn33aed0DerXoLDO3mNYvUn3B1bw/xkvkg2PGfiuBLUjCdwEwYAvyN2+/BuNbU9tCnQ==" saltValue="K+JJ6+PmVeMxm/jXCL2H8Q==" spinCount="100000" sheet="1" objects="1" scenarios="1"/>
  <sortState ref="A2:A24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6"/>
  <sheetViews>
    <sheetView workbookViewId="0">
      <pane ySplit="1" topLeftCell="A2" activePane="bottomLeft" state="frozen"/>
      <selection pane="bottomLeft"/>
    </sheetView>
  </sheetViews>
  <sheetFormatPr defaultColWidth="11.578125" defaultRowHeight="14.4" x14ac:dyDescent="0.55000000000000004"/>
  <cols>
    <col min="1" max="1" width="11.41796875" style="1" customWidth="1"/>
    <col min="2" max="2" width="31.578125" style="1" customWidth="1"/>
    <col min="3" max="3" width="14.83984375" style="1" customWidth="1"/>
    <col min="4" max="16" width="11.41796875" style="1" customWidth="1"/>
    <col min="17" max="239" width="9.15625" customWidth="1"/>
  </cols>
  <sheetData>
    <row r="1" spans="1:18" s="2" customFormat="1" ht="52.5" customHeight="1" x14ac:dyDescent="0.55000000000000004">
      <c r="A1" s="113" t="s">
        <v>24</v>
      </c>
      <c r="B1" s="113" t="s">
        <v>25</v>
      </c>
      <c r="C1" s="113" t="s">
        <v>21</v>
      </c>
      <c r="D1" s="113" t="s">
        <v>26</v>
      </c>
      <c r="E1" s="113" t="s">
        <v>27</v>
      </c>
      <c r="F1" s="113" t="s">
        <v>28</v>
      </c>
      <c r="G1" s="113" t="s">
        <v>29</v>
      </c>
      <c r="H1" s="113" t="s">
        <v>17</v>
      </c>
      <c r="I1" s="113" t="s">
        <v>30</v>
      </c>
      <c r="J1" s="113" t="s">
        <v>31</v>
      </c>
      <c r="K1" s="113" t="s">
        <v>32</v>
      </c>
      <c r="L1" s="113" t="s">
        <v>33</v>
      </c>
      <c r="M1" s="113" t="s">
        <v>34</v>
      </c>
      <c r="N1" s="113" t="s">
        <v>35</v>
      </c>
      <c r="O1" s="113" t="s">
        <v>36</v>
      </c>
      <c r="P1" s="113" t="s">
        <v>37</v>
      </c>
      <c r="Q1" s="113" t="s">
        <v>38</v>
      </c>
      <c r="R1" s="113" t="s">
        <v>39</v>
      </c>
    </row>
    <row r="2" spans="1:18" ht="15" customHeight="1" x14ac:dyDescent="0.55000000000000004">
      <c r="A2" s="114" t="s">
        <v>42</v>
      </c>
      <c r="B2" s="115" t="s">
        <v>348</v>
      </c>
      <c r="C2" s="116" t="s">
        <v>304</v>
      </c>
      <c r="D2" s="114" t="s">
        <v>59</v>
      </c>
      <c r="E2" s="114" t="s">
        <v>80</v>
      </c>
      <c r="F2" s="114" t="s">
        <v>81</v>
      </c>
      <c r="G2" s="117">
        <v>42411</v>
      </c>
      <c r="H2" s="118">
        <v>1.82</v>
      </c>
      <c r="I2" s="118">
        <v>39.04</v>
      </c>
      <c r="J2" s="119">
        <v>21.450500000000002</v>
      </c>
      <c r="K2" s="120">
        <v>22.06</v>
      </c>
      <c r="L2" s="119">
        <v>1.18E-2</v>
      </c>
      <c r="M2" s="120">
        <v>1.5</v>
      </c>
      <c r="N2" s="120">
        <v>3.78</v>
      </c>
      <c r="O2" s="118">
        <v>1.1200000000000001</v>
      </c>
      <c r="P2" s="119">
        <v>6.7799999999999999E-2</v>
      </c>
      <c r="Q2" s="120">
        <v>0</v>
      </c>
      <c r="R2" s="118">
        <v>22.98</v>
      </c>
    </row>
    <row r="3" spans="1:18" ht="15" customHeight="1" x14ac:dyDescent="0.55000000000000004">
      <c r="A3" s="114" t="s">
        <v>1021</v>
      </c>
      <c r="B3" s="115" t="s">
        <v>1022</v>
      </c>
      <c r="C3" s="116" t="s">
        <v>98</v>
      </c>
      <c r="D3" s="114" t="s">
        <v>249</v>
      </c>
      <c r="E3" s="114" t="s">
        <v>80</v>
      </c>
      <c r="F3" s="114" t="s">
        <v>377</v>
      </c>
      <c r="G3" s="117">
        <v>42028</v>
      </c>
      <c r="H3" s="118">
        <v>0</v>
      </c>
      <c r="I3" s="118">
        <v>9.6300000000000008</v>
      </c>
      <c r="J3" s="114" t="s">
        <v>48</v>
      </c>
      <c r="K3" s="114" t="s">
        <v>48</v>
      </c>
      <c r="L3" s="119">
        <v>1.2500000000000001E-2</v>
      </c>
      <c r="M3" s="120">
        <v>1.2</v>
      </c>
      <c r="N3" s="120">
        <v>1.81</v>
      </c>
      <c r="O3" s="118">
        <v>-12.48</v>
      </c>
      <c r="P3" s="119">
        <v>-0.2959</v>
      </c>
      <c r="Q3" s="114"/>
      <c r="R3" s="114"/>
    </row>
    <row r="4" spans="1:18" ht="15" customHeight="1" x14ac:dyDescent="0.55000000000000004">
      <c r="A4" s="114" t="s">
        <v>1023</v>
      </c>
      <c r="B4" s="115" t="s">
        <v>1024</v>
      </c>
      <c r="C4" s="116" t="s">
        <v>98</v>
      </c>
      <c r="D4" s="114" t="s">
        <v>249</v>
      </c>
      <c r="E4" s="114" t="s">
        <v>80</v>
      </c>
      <c r="F4" s="114" t="s">
        <v>377</v>
      </c>
      <c r="G4" s="117">
        <v>42174</v>
      </c>
      <c r="H4" s="118">
        <v>0</v>
      </c>
      <c r="I4" s="118">
        <v>41.59</v>
      </c>
      <c r="J4" s="114" t="s">
        <v>48</v>
      </c>
      <c r="K4" s="114" t="s">
        <v>48</v>
      </c>
      <c r="L4" s="119">
        <v>9.5999999999999992E-3</v>
      </c>
      <c r="M4" s="121" t="e">
        <v>#N/A</v>
      </c>
      <c r="N4" s="120">
        <v>0.99</v>
      </c>
      <c r="O4" s="118">
        <v>-41.65</v>
      </c>
      <c r="P4" s="119">
        <v>-0.39500000000000002</v>
      </c>
      <c r="Q4" s="114"/>
      <c r="R4" s="114"/>
    </row>
    <row r="5" spans="1:18" ht="15" customHeight="1" x14ac:dyDescent="0.55000000000000004">
      <c r="A5" s="114" t="s">
        <v>295</v>
      </c>
      <c r="B5" s="115" t="s">
        <v>296</v>
      </c>
      <c r="C5" s="116" t="s">
        <v>297</v>
      </c>
      <c r="D5" s="114" t="s">
        <v>43</v>
      </c>
      <c r="E5" s="114" t="s">
        <v>98</v>
      </c>
      <c r="F5" s="114" t="s">
        <v>132</v>
      </c>
      <c r="G5" s="117">
        <v>42306</v>
      </c>
      <c r="H5" s="118">
        <v>28.87</v>
      </c>
      <c r="I5" s="118">
        <v>22.98</v>
      </c>
      <c r="J5" s="119">
        <v>0.79600000000000004</v>
      </c>
      <c r="K5" s="120">
        <v>13.36</v>
      </c>
      <c r="L5" s="119">
        <v>4.4000000000000003E-3</v>
      </c>
      <c r="M5" s="120">
        <v>0.2</v>
      </c>
      <c r="N5" s="120">
        <v>2.2999999999999998</v>
      </c>
      <c r="O5" s="118">
        <v>2.86</v>
      </c>
      <c r="P5" s="119">
        <v>2.4299999999999999E-2</v>
      </c>
      <c r="Q5" s="120">
        <v>10</v>
      </c>
      <c r="R5" s="118">
        <v>29.7</v>
      </c>
    </row>
    <row r="6" spans="1:18" ht="15" customHeight="1" x14ac:dyDescent="0.55000000000000004">
      <c r="A6" s="114" t="s">
        <v>704</v>
      </c>
      <c r="B6" s="115" t="s">
        <v>705</v>
      </c>
      <c r="C6" s="116" t="s">
        <v>43</v>
      </c>
      <c r="D6" s="114" t="s">
        <v>249</v>
      </c>
      <c r="E6" s="114" t="s">
        <v>98</v>
      </c>
      <c r="F6" s="114" t="s">
        <v>412</v>
      </c>
      <c r="G6" s="117">
        <v>42220</v>
      </c>
      <c r="H6" s="118">
        <v>200.57</v>
      </c>
      <c r="I6" s="118">
        <v>152.16999999999999</v>
      </c>
      <c r="J6" s="119">
        <v>0.75870000000000004</v>
      </c>
      <c r="K6" s="120">
        <v>23.09</v>
      </c>
      <c r="L6" s="119">
        <v>1.6000000000000001E-3</v>
      </c>
      <c r="M6" s="120">
        <v>0.9</v>
      </c>
      <c r="N6" s="120">
        <v>1.29</v>
      </c>
      <c r="O6" s="118">
        <v>-14.42</v>
      </c>
      <c r="P6" s="119">
        <v>7.2999999999999995E-2</v>
      </c>
      <c r="Q6" s="114"/>
      <c r="R6" s="114"/>
    </row>
    <row r="7" spans="1:18" ht="15" customHeight="1" x14ac:dyDescent="0.55000000000000004">
      <c r="A7" s="114" t="s">
        <v>349</v>
      </c>
      <c r="B7" s="115" t="s">
        <v>350</v>
      </c>
      <c r="C7" s="116" t="s">
        <v>304</v>
      </c>
      <c r="D7" s="114" t="s">
        <v>249</v>
      </c>
      <c r="E7" s="114" t="s">
        <v>44</v>
      </c>
      <c r="F7" s="114" t="s">
        <v>250</v>
      </c>
      <c r="G7" s="117">
        <v>42409</v>
      </c>
      <c r="H7" s="118">
        <v>297.73</v>
      </c>
      <c r="I7" s="118">
        <v>100.75</v>
      </c>
      <c r="J7" s="119">
        <v>0.33839999999999998</v>
      </c>
      <c r="K7" s="120">
        <v>13.03</v>
      </c>
      <c r="L7" s="119">
        <v>2.06E-2</v>
      </c>
      <c r="M7" s="120">
        <v>1</v>
      </c>
      <c r="N7" s="120">
        <v>1</v>
      </c>
      <c r="O7" s="118">
        <v>-15.87</v>
      </c>
      <c r="P7" s="119">
        <v>2.2700000000000001E-2</v>
      </c>
      <c r="Q7" s="120">
        <v>5</v>
      </c>
      <c r="R7" s="118">
        <v>66.2</v>
      </c>
    </row>
    <row r="8" spans="1:18" ht="15" customHeight="1" x14ac:dyDescent="0.55000000000000004">
      <c r="A8" s="114" t="s">
        <v>827</v>
      </c>
      <c r="B8" s="115" t="s">
        <v>828</v>
      </c>
      <c r="C8" s="116" t="s">
        <v>829</v>
      </c>
      <c r="D8" s="114" t="s">
        <v>249</v>
      </c>
      <c r="E8" s="114" t="s">
        <v>80</v>
      </c>
      <c r="F8" s="114" t="s">
        <v>377</v>
      </c>
      <c r="G8" s="117">
        <v>42144</v>
      </c>
      <c r="H8" s="118">
        <v>38.67</v>
      </c>
      <c r="I8" s="118">
        <v>55.69</v>
      </c>
      <c r="J8" s="119">
        <v>1.4400999999999999</v>
      </c>
      <c r="K8" s="120">
        <v>19.96</v>
      </c>
      <c r="L8" s="119">
        <v>4.0899999999999999E-2</v>
      </c>
      <c r="M8" s="120">
        <v>1.6</v>
      </c>
      <c r="N8" s="120">
        <v>1.39</v>
      </c>
      <c r="O8" s="118">
        <v>-6.17</v>
      </c>
      <c r="P8" s="119">
        <v>5.7299999999999997E-2</v>
      </c>
      <c r="Q8" s="114"/>
      <c r="R8" s="114"/>
    </row>
    <row r="9" spans="1:18" ht="15" customHeight="1" x14ac:dyDescent="0.55000000000000004">
      <c r="A9" s="114" t="s">
        <v>706</v>
      </c>
      <c r="B9" s="115" t="s">
        <v>707</v>
      </c>
      <c r="C9" s="116" t="s">
        <v>43</v>
      </c>
      <c r="D9" s="114" t="s">
        <v>249</v>
      </c>
      <c r="E9" s="114" t="s">
        <v>80</v>
      </c>
      <c r="F9" s="114" t="s">
        <v>377</v>
      </c>
      <c r="G9" s="117">
        <v>42095</v>
      </c>
      <c r="H9" s="118">
        <v>50.47</v>
      </c>
      <c r="I9" s="118">
        <v>87.63</v>
      </c>
      <c r="J9" s="119">
        <v>1.7363</v>
      </c>
      <c r="K9" s="120">
        <v>32.1</v>
      </c>
      <c r="L9" s="119">
        <v>1.55E-2</v>
      </c>
      <c r="M9" s="120">
        <v>0.8</v>
      </c>
      <c r="N9" s="120">
        <v>0.97</v>
      </c>
      <c r="O9" s="118">
        <v>-13.63</v>
      </c>
      <c r="P9" s="119">
        <v>0.11799999999999999</v>
      </c>
      <c r="Q9" s="114"/>
      <c r="R9" s="114"/>
    </row>
    <row r="10" spans="1:18" ht="15" customHeight="1" x14ac:dyDescent="0.55000000000000004">
      <c r="A10" s="114" t="s">
        <v>830</v>
      </c>
      <c r="B10" s="115" t="s">
        <v>831</v>
      </c>
      <c r="C10" s="116" t="s">
        <v>829</v>
      </c>
      <c r="D10" s="114" t="s">
        <v>249</v>
      </c>
      <c r="E10" s="114" t="s">
        <v>80</v>
      </c>
      <c r="F10" s="114" t="s">
        <v>377</v>
      </c>
      <c r="G10" s="117">
        <v>42075</v>
      </c>
      <c r="H10" s="118">
        <v>3.15</v>
      </c>
      <c r="I10" s="118">
        <v>39.33</v>
      </c>
      <c r="J10" s="119">
        <v>12.4857</v>
      </c>
      <c r="K10" s="120">
        <v>17.329999999999998</v>
      </c>
      <c r="L10" s="119">
        <v>2.64E-2</v>
      </c>
      <c r="M10" s="120">
        <v>1</v>
      </c>
      <c r="N10" s="120">
        <v>1.45</v>
      </c>
      <c r="O10" s="118">
        <v>-2.95</v>
      </c>
      <c r="P10" s="119">
        <v>4.41E-2</v>
      </c>
      <c r="Q10" s="114"/>
      <c r="R10" s="114"/>
    </row>
    <row r="11" spans="1:18" ht="15" customHeight="1" x14ac:dyDescent="0.55000000000000004">
      <c r="A11" s="114" t="s">
        <v>832</v>
      </c>
      <c r="B11" s="115" t="s">
        <v>833</v>
      </c>
      <c r="C11" s="116" t="s">
        <v>829</v>
      </c>
      <c r="D11" s="114" t="s">
        <v>249</v>
      </c>
      <c r="E11" s="114" t="s">
        <v>98</v>
      </c>
      <c r="F11" s="114" t="s">
        <v>412</v>
      </c>
      <c r="G11" s="117">
        <v>42220</v>
      </c>
      <c r="H11" s="118">
        <v>48.92</v>
      </c>
      <c r="I11" s="118">
        <v>44.88</v>
      </c>
      <c r="J11" s="119">
        <v>0.91739999999999999</v>
      </c>
      <c r="K11" s="120">
        <v>35.340000000000003</v>
      </c>
      <c r="L11" s="119">
        <v>3.5700000000000003E-2</v>
      </c>
      <c r="M11" s="120">
        <v>0.2</v>
      </c>
      <c r="N11" s="120">
        <v>1.1499999999999999</v>
      </c>
      <c r="O11" s="118">
        <v>-25.77</v>
      </c>
      <c r="P11" s="119">
        <v>0.13420000000000001</v>
      </c>
      <c r="Q11" s="114"/>
      <c r="R11" s="114"/>
    </row>
    <row r="12" spans="1:18" ht="15" customHeight="1" x14ac:dyDescent="0.55000000000000004">
      <c r="A12" s="114" t="s">
        <v>708</v>
      </c>
      <c r="B12" s="115" t="s">
        <v>709</v>
      </c>
      <c r="C12" s="116" t="s">
        <v>43</v>
      </c>
      <c r="D12" s="114" t="s">
        <v>249</v>
      </c>
      <c r="E12" s="114" t="s">
        <v>98</v>
      </c>
      <c r="F12" s="114" t="s">
        <v>412</v>
      </c>
      <c r="G12" s="117">
        <v>42220</v>
      </c>
      <c r="H12" s="118">
        <v>20.57</v>
      </c>
      <c r="I12" s="118">
        <v>19.95</v>
      </c>
      <c r="J12" s="119">
        <v>0.96989999999999998</v>
      </c>
      <c r="K12" s="120">
        <v>36.94</v>
      </c>
      <c r="L12" s="114" t="s">
        <v>48</v>
      </c>
      <c r="M12" s="120">
        <v>1.4</v>
      </c>
      <c r="N12" s="120">
        <v>1.04</v>
      </c>
      <c r="O12" s="118">
        <v>-6.8</v>
      </c>
      <c r="P12" s="119">
        <v>0.14219999999999999</v>
      </c>
      <c r="Q12" s="114"/>
      <c r="R12" s="114"/>
    </row>
    <row r="13" spans="1:18" ht="15" customHeight="1" x14ac:dyDescent="0.55000000000000004">
      <c r="A13" s="114" t="s">
        <v>710</v>
      </c>
      <c r="B13" s="115" t="s">
        <v>711</v>
      </c>
      <c r="C13" s="116" t="s">
        <v>43</v>
      </c>
      <c r="D13" s="114" t="s">
        <v>249</v>
      </c>
      <c r="E13" s="114" t="s">
        <v>80</v>
      </c>
      <c r="F13" s="114" t="s">
        <v>377</v>
      </c>
      <c r="G13" s="117">
        <v>42220</v>
      </c>
      <c r="H13" s="118">
        <v>2.67</v>
      </c>
      <c r="I13" s="118">
        <v>28.95</v>
      </c>
      <c r="J13" s="119">
        <v>10.842700000000001</v>
      </c>
      <c r="K13" s="120">
        <v>19.3</v>
      </c>
      <c r="L13" s="114" t="s">
        <v>48</v>
      </c>
      <c r="M13" s="120">
        <v>1.8</v>
      </c>
      <c r="N13" s="120">
        <v>1.34</v>
      </c>
      <c r="O13" s="118">
        <v>-30.11</v>
      </c>
      <c r="P13" s="119">
        <v>5.3999999999999999E-2</v>
      </c>
      <c r="Q13" s="114"/>
      <c r="R13" s="114"/>
    </row>
    <row r="14" spans="1:18" ht="15" customHeight="1" x14ac:dyDescent="0.55000000000000004">
      <c r="A14" s="114" t="s">
        <v>632</v>
      </c>
      <c r="B14" s="115" t="s">
        <v>633</v>
      </c>
      <c r="C14" s="116" t="s">
        <v>634</v>
      </c>
      <c r="D14" s="114" t="s">
        <v>59</v>
      </c>
      <c r="E14" s="114" t="s">
        <v>98</v>
      </c>
      <c r="F14" s="114" t="s">
        <v>150</v>
      </c>
      <c r="G14" s="117">
        <v>42404</v>
      </c>
      <c r="H14" s="118">
        <v>111.82</v>
      </c>
      <c r="I14" s="118">
        <v>102.66</v>
      </c>
      <c r="J14" s="119">
        <v>0.91810000000000003</v>
      </c>
      <c r="K14" s="120">
        <v>21.39</v>
      </c>
      <c r="L14" s="119">
        <v>2.1399999999999999E-2</v>
      </c>
      <c r="M14" s="120">
        <v>1.1000000000000001</v>
      </c>
      <c r="N14" s="120">
        <v>1.25</v>
      </c>
      <c r="O14" s="118">
        <v>-2.19</v>
      </c>
      <c r="P14" s="119">
        <v>6.4399999999999999E-2</v>
      </c>
      <c r="Q14" s="120">
        <v>5</v>
      </c>
      <c r="R14" s="118">
        <v>32.47</v>
      </c>
    </row>
    <row r="15" spans="1:18" ht="15" customHeight="1" x14ac:dyDescent="0.55000000000000004">
      <c r="A15" s="114" t="s">
        <v>1025</v>
      </c>
      <c r="B15" s="115" t="s">
        <v>1026</v>
      </c>
      <c r="C15" s="116" t="s">
        <v>98</v>
      </c>
      <c r="D15" s="114" t="s">
        <v>249</v>
      </c>
      <c r="E15" s="114" t="s">
        <v>80</v>
      </c>
      <c r="F15" s="114" t="s">
        <v>377</v>
      </c>
      <c r="G15" s="117">
        <v>42221</v>
      </c>
      <c r="H15" s="118">
        <v>2.19</v>
      </c>
      <c r="I15" s="118">
        <v>21.3</v>
      </c>
      <c r="J15" s="119">
        <v>9.7260000000000009</v>
      </c>
      <c r="K15" s="120">
        <v>118.33</v>
      </c>
      <c r="L15" s="114" t="s">
        <v>48</v>
      </c>
      <c r="M15" s="120">
        <v>1.4</v>
      </c>
      <c r="N15" s="120">
        <v>1.67</v>
      </c>
      <c r="O15" s="118">
        <v>-2.65</v>
      </c>
      <c r="P15" s="119">
        <v>0.54920000000000002</v>
      </c>
      <c r="Q15" s="114"/>
      <c r="R15" s="114"/>
    </row>
    <row r="16" spans="1:18" ht="15" customHeight="1" x14ac:dyDescent="0.55000000000000004">
      <c r="A16" s="114" t="s">
        <v>1027</v>
      </c>
      <c r="B16" s="115" t="s">
        <v>1028</v>
      </c>
      <c r="C16" s="116" t="s">
        <v>98</v>
      </c>
      <c r="D16" s="114" t="s">
        <v>249</v>
      </c>
      <c r="E16" s="114" t="s">
        <v>80</v>
      </c>
      <c r="F16" s="114" t="s">
        <v>377</v>
      </c>
      <c r="G16" s="117">
        <v>42170</v>
      </c>
      <c r="H16" s="118">
        <v>6.69</v>
      </c>
      <c r="I16" s="118">
        <v>88.39</v>
      </c>
      <c r="J16" s="119">
        <v>13.212300000000001</v>
      </c>
      <c r="K16" s="120">
        <v>71.28</v>
      </c>
      <c r="L16" s="114" t="s">
        <v>48</v>
      </c>
      <c r="M16" s="120">
        <v>1.3</v>
      </c>
      <c r="N16" s="120">
        <v>2.2200000000000002</v>
      </c>
      <c r="O16" s="118">
        <v>-0.88</v>
      </c>
      <c r="P16" s="119">
        <v>0.31390000000000001</v>
      </c>
      <c r="Q16" s="114"/>
      <c r="R16" s="114"/>
    </row>
    <row r="17" spans="1:18" ht="15" customHeight="1" x14ac:dyDescent="0.55000000000000004">
      <c r="A17" s="114" t="s">
        <v>351</v>
      </c>
      <c r="B17" s="115" t="s">
        <v>352</v>
      </c>
      <c r="C17" s="116" t="s">
        <v>304</v>
      </c>
      <c r="D17" s="114" t="s">
        <v>59</v>
      </c>
      <c r="E17" s="114" t="s">
        <v>80</v>
      </c>
      <c r="F17" s="114" t="s">
        <v>81</v>
      </c>
      <c r="G17" s="117">
        <v>42415</v>
      </c>
      <c r="H17" s="118">
        <v>19.23</v>
      </c>
      <c r="I17" s="118">
        <v>55.41</v>
      </c>
      <c r="J17" s="119">
        <v>2.8814000000000002</v>
      </c>
      <c r="K17" s="120">
        <v>24.85</v>
      </c>
      <c r="L17" s="119">
        <v>3.0300000000000001E-2</v>
      </c>
      <c r="M17" s="120">
        <v>1.1000000000000001</v>
      </c>
      <c r="N17" s="120">
        <v>3.66</v>
      </c>
      <c r="O17" s="118">
        <v>6.6</v>
      </c>
      <c r="P17" s="119">
        <v>8.1699999999999995E-2</v>
      </c>
      <c r="Q17" s="120">
        <v>13</v>
      </c>
      <c r="R17" s="118">
        <v>29.94</v>
      </c>
    </row>
    <row r="18" spans="1:18" ht="15" customHeight="1" x14ac:dyDescent="0.55000000000000004">
      <c r="A18" s="114" t="s">
        <v>77</v>
      </c>
      <c r="B18" s="115" t="s">
        <v>78</v>
      </c>
      <c r="C18" s="116" t="s">
        <v>79</v>
      </c>
      <c r="D18" s="114" t="s">
        <v>59</v>
      </c>
      <c r="E18" s="114" t="s">
        <v>80</v>
      </c>
      <c r="F18" s="114" t="s">
        <v>81</v>
      </c>
      <c r="G18" s="117">
        <v>42405</v>
      </c>
      <c r="H18" s="118">
        <v>9.59</v>
      </c>
      <c r="I18" s="118">
        <v>35.83</v>
      </c>
      <c r="J18" s="119">
        <v>3.7362000000000002</v>
      </c>
      <c r="K18" s="120">
        <v>14.33</v>
      </c>
      <c r="L18" s="119">
        <v>3.3500000000000002E-2</v>
      </c>
      <c r="M18" s="120">
        <v>1.1000000000000001</v>
      </c>
      <c r="N18" s="120">
        <v>1.63</v>
      </c>
      <c r="O18" s="118">
        <v>0.05</v>
      </c>
      <c r="P18" s="119">
        <v>2.92E-2</v>
      </c>
      <c r="Q18" s="120">
        <v>20</v>
      </c>
      <c r="R18" s="118">
        <v>38.18</v>
      </c>
    </row>
    <row r="19" spans="1:18" ht="15" customHeight="1" x14ac:dyDescent="0.55000000000000004">
      <c r="A19" s="114" t="s">
        <v>213</v>
      </c>
      <c r="B19" s="115" t="s">
        <v>214</v>
      </c>
      <c r="C19" s="116" t="s">
        <v>215</v>
      </c>
      <c r="D19" s="114" t="s">
        <v>59</v>
      </c>
      <c r="E19" s="114" t="s">
        <v>80</v>
      </c>
      <c r="F19" s="114" t="s">
        <v>81</v>
      </c>
      <c r="G19" s="117">
        <v>42272</v>
      </c>
      <c r="H19" s="118">
        <v>44.19</v>
      </c>
      <c r="I19" s="118">
        <v>85.65</v>
      </c>
      <c r="J19" s="119">
        <v>1.9381999999999999</v>
      </c>
      <c r="K19" s="120">
        <v>27.63</v>
      </c>
      <c r="L19" s="119">
        <v>2.4799999999999999E-2</v>
      </c>
      <c r="M19" s="120">
        <v>0.9</v>
      </c>
      <c r="N19" s="120">
        <v>1.06</v>
      </c>
      <c r="O19" s="118">
        <v>1.08</v>
      </c>
      <c r="P19" s="119">
        <v>9.5600000000000004E-2</v>
      </c>
      <c r="Q19" s="120">
        <v>20</v>
      </c>
      <c r="R19" s="118">
        <v>27.36</v>
      </c>
    </row>
    <row r="20" spans="1:18" ht="15" customHeight="1" x14ac:dyDescent="0.55000000000000004">
      <c r="A20" s="114" t="s">
        <v>834</v>
      </c>
      <c r="B20" s="115" t="s">
        <v>835</v>
      </c>
      <c r="C20" s="116" t="s">
        <v>829</v>
      </c>
      <c r="D20" s="114" t="s">
        <v>249</v>
      </c>
      <c r="E20" s="114" t="s">
        <v>44</v>
      </c>
      <c r="F20" s="114" t="s">
        <v>250</v>
      </c>
      <c r="G20" s="117">
        <v>42282</v>
      </c>
      <c r="H20" s="118">
        <v>344.58</v>
      </c>
      <c r="I20" s="118">
        <v>214.35</v>
      </c>
      <c r="J20" s="119">
        <v>0.62209999999999999</v>
      </c>
      <c r="K20" s="120">
        <v>23.95</v>
      </c>
      <c r="L20" s="114" t="s">
        <v>48</v>
      </c>
      <c r="M20" s="120">
        <v>1.3</v>
      </c>
      <c r="N20" s="120">
        <v>2.2000000000000002</v>
      </c>
      <c r="O20" s="118">
        <v>-67.89</v>
      </c>
      <c r="P20" s="119">
        <v>7.7200000000000005E-2</v>
      </c>
      <c r="Q20" s="120">
        <v>0</v>
      </c>
      <c r="R20" s="118">
        <v>94.03</v>
      </c>
    </row>
    <row r="21" spans="1:18" ht="15" customHeight="1" x14ac:dyDescent="0.55000000000000004">
      <c r="A21" s="114" t="s">
        <v>1029</v>
      </c>
      <c r="B21" s="115" t="s">
        <v>1030</v>
      </c>
      <c r="C21" s="116" t="s">
        <v>98</v>
      </c>
      <c r="D21" s="114" t="s">
        <v>249</v>
      </c>
      <c r="E21" s="114" t="s">
        <v>80</v>
      </c>
      <c r="F21" s="114" t="s">
        <v>377</v>
      </c>
      <c r="G21" s="117">
        <v>42228</v>
      </c>
      <c r="H21" s="118">
        <v>5.33</v>
      </c>
      <c r="I21" s="118">
        <v>54.41</v>
      </c>
      <c r="J21" s="119">
        <v>10.208299999999999</v>
      </c>
      <c r="K21" s="120">
        <v>64.77</v>
      </c>
      <c r="L21" s="114" t="s">
        <v>48</v>
      </c>
      <c r="M21" s="120">
        <v>2.1</v>
      </c>
      <c r="N21" s="120">
        <v>1.84</v>
      </c>
      <c r="O21" s="118">
        <v>-0.91</v>
      </c>
      <c r="P21" s="119">
        <v>0.28139999999999998</v>
      </c>
      <c r="Q21" s="120">
        <v>0</v>
      </c>
      <c r="R21" s="114"/>
    </row>
    <row r="22" spans="1:18" ht="15" customHeight="1" x14ac:dyDescent="0.55000000000000004">
      <c r="A22" s="114" t="s">
        <v>353</v>
      </c>
      <c r="B22" s="115" t="s">
        <v>354</v>
      </c>
      <c r="C22" s="116" t="s">
        <v>304</v>
      </c>
      <c r="D22" s="114" t="s">
        <v>249</v>
      </c>
      <c r="E22" s="114" t="s">
        <v>44</v>
      </c>
      <c r="F22" s="114" t="s">
        <v>250</v>
      </c>
      <c r="G22" s="117">
        <v>42151</v>
      </c>
      <c r="H22" s="118">
        <v>68.66</v>
      </c>
      <c r="I22" s="118">
        <v>40.51</v>
      </c>
      <c r="J22" s="119">
        <v>0.59</v>
      </c>
      <c r="K22" s="120">
        <v>19.670000000000002</v>
      </c>
      <c r="L22" s="119">
        <v>2.1700000000000001E-2</v>
      </c>
      <c r="M22" s="120">
        <v>1.1000000000000001</v>
      </c>
      <c r="N22" s="120">
        <v>0.62</v>
      </c>
      <c r="O22" s="118">
        <v>-41.96</v>
      </c>
      <c r="P22" s="119">
        <v>5.5800000000000002E-2</v>
      </c>
      <c r="Q22" s="114"/>
      <c r="R22" s="114"/>
    </row>
    <row r="23" spans="1:18" ht="15" customHeight="1" x14ac:dyDescent="0.55000000000000004">
      <c r="A23" s="114" t="s">
        <v>712</v>
      </c>
      <c r="B23" s="115" t="s">
        <v>713</v>
      </c>
      <c r="C23" s="116" t="s">
        <v>43</v>
      </c>
      <c r="D23" s="114" t="s">
        <v>249</v>
      </c>
      <c r="E23" s="114" t="s">
        <v>80</v>
      </c>
      <c r="F23" s="114" t="s">
        <v>377</v>
      </c>
      <c r="G23" s="117">
        <v>42165</v>
      </c>
      <c r="H23" s="118">
        <v>0</v>
      </c>
      <c r="I23" s="118">
        <v>46.96</v>
      </c>
      <c r="J23" s="114" t="s">
        <v>48</v>
      </c>
      <c r="K23" s="120">
        <v>35.85</v>
      </c>
      <c r="L23" s="119">
        <v>3.6200000000000003E-2</v>
      </c>
      <c r="M23" s="120">
        <v>0.3</v>
      </c>
      <c r="N23" s="120">
        <v>0.79</v>
      </c>
      <c r="O23" s="118">
        <v>-58.48</v>
      </c>
      <c r="P23" s="119">
        <v>0.13669999999999999</v>
      </c>
      <c r="Q23" s="114"/>
      <c r="R23" s="114"/>
    </row>
    <row r="24" spans="1:18" ht="15" customHeight="1" x14ac:dyDescent="0.55000000000000004">
      <c r="A24" s="114" t="s">
        <v>635</v>
      </c>
      <c r="B24" s="115" t="s">
        <v>636</v>
      </c>
      <c r="C24" s="116" t="s">
        <v>634</v>
      </c>
      <c r="D24" s="114" t="s">
        <v>59</v>
      </c>
      <c r="E24" s="114" t="s">
        <v>80</v>
      </c>
      <c r="F24" s="114" t="s">
        <v>81</v>
      </c>
      <c r="G24" s="117">
        <v>42405</v>
      </c>
      <c r="H24" s="118">
        <v>4.6100000000000003</v>
      </c>
      <c r="I24" s="118">
        <v>15.45</v>
      </c>
      <c r="J24" s="119">
        <v>3.3513999999999999</v>
      </c>
      <c r="K24" s="120">
        <v>20.059999999999999</v>
      </c>
      <c r="L24" s="119">
        <v>3.2399999999999998E-2</v>
      </c>
      <c r="M24" s="120">
        <v>0.8</v>
      </c>
      <c r="N24" s="120">
        <v>1.82</v>
      </c>
      <c r="O24" s="118">
        <v>1.88</v>
      </c>
      <c r="P24" s="119">
        <v>5.7799999999999997E-2</v>
      </c>
      <c r="Q24" s="120">
        <v>3</v>
      </c>
      <c r="R24" s="118">
        <v>12.41</v>
      </c>
    </row>
    <row r="25" spans="1:18" ht="15" customHeight="1" x14ac:dyDescent="0.55000000000000004">
      <c r="A25" s="114" t="s">
        <v>836</v>
      </c>
      <c r="B25" s="115" t="s">
        <v>837</v>
      </c>
      <c r="C25" s="116" t="s">
        <v>829</v>
      </c>
      <c r="D25" s="114" t="s">
        <v>249</v>
      </c>
      <c r="E25" s="114" t="s">
        <v>80</v>
      </c>
      <c r="F25" s="114" t="s">
        <v>377</v>
      </c>
      <c r="G25" s="117">
        <v>42327</v>
      </c>
      <c r="H25" s="118">
        <v>31.76</v>
      </c>
      <c r="I25" s="118">
        <v>61.89</v>
      </c>
      <c r="J25" s="119">
        <v>1.9487000000000001</v>
      </c>
      <c r="K25" s="120">
        <v>18.47</v>
      </c>
      <c r="L25" s="119">
        <v>3.6200000000000003E-2</v>
      </c>
      <c r="M25" s="120">
        <v>0.2</v>
      </c>
      <c r="N25" s="120">
        <v>0.64</v>
      </c>
      <c r="O25" s="118">
        <v>-79.16</v>
      </c>
      <c r="P25" s="119">
        <v>4.99E-2</v>
      </c>
      <c r="Q25" s="120">
        <v>6</v>
      </c>
      <c r="R25" s="118">
        <v>54.86</v>
      </c>
    </row>
    <row r="26" spans="1:18" ht="15" customHeight="1" x14ac:dyDescent="0.55000000000000004">
      <c r="A26" s="114" t="s">
        <v>714</v>
      </c>
      <c r="B26" s="115" t="s">
        <v>715</v>
      </c>
      <c r="C26" s="116" t="s">
        <v>43</v>
      </c>
      <c r="D26" s="114" t="s">
        <v>249</v>
      </c>
      <c r="E26" s="114" t="s">
        <v>80</v>
      </c>
      <c r="F26" s="114" t="s">
        <v>377</v>
      </c>
      <c r="G26" s="117">
        <v>42027</v>
      </c>
      <c r="H26" s="118">
        <v>0</v>
      </c>
      <c r="I26" s="118">
        <v>10.28</v>
      </c>
      <c r="J26" s="114" t="s">
        <v>48</v>
      </c>
      <c r="K26" s="120">
        <v>46.73</v>
      </c>
      <c r="L26" s="119">
        <v>4.2799999999999998E-2</v>
      </c>
      <c r="M26" s="120">
        <v>1.2</v>
      </c>
      <c r="N26" s="120">
        <v>1.1200000000000001</v>
      </c>
      <c r="O26" s="118">
        <v>-36.08</v>
      </c>
      <c r="P26" s="119">
        <v>0.19109999999999999</v>
      </c>
      <c r="Q26" s="114"/>
      <c r="R26" s="114"/>
    </row>
    <row r="27" spans="1:18" ht="15" customHeight="1" x14ac:dyDescent="0.55000000000000004">
      <c r="A27" s="114" t="s">
        <v>637</v>
      </c>
      <c r="B27" s="115" t="s">
        <v>638</v>
      </c>
      <c r="C27" s="116" t="s">
        <v>634</v>
      </c>
      <c r="D27" s="114" t="s">
        <v>43</v>
      </c>
      <c r="E27" s="114" t="s">
        <v>98</v>
      </c>
      <c r="F27" s="114" t="s">
        <v>132</v>
      </c>
      <c r="G27" s="117">
        <v>42401</v>
      </c>
      <c r="H27" s="118">
        <v>133.08000000000001</v>
      </c>
      <c r="I27" s="118">
        <v>110.15</v>
      </c>
      <c r="J27" s="119">
        <v>0.82769999999999999</v>
      </c>
      <c r="K27" s="120">
        <v>18.64</v>
      </c>
      <c r="L27" s="119">
        <v>9.1000000000000004E-3</v>
      </c>
      <c r="M27" s="120">
        <v>0.7</v>
      </c>
      <c r="N27" s="120">
        <v>0.81</v>
      </c>
      <c r="O27" s="118">
        <v>-71.67</v>
      </c>
      <c r="P27" s="119">
        <v>5.0700000000000002E-2</v>
      </c>
      <c r="Q27" s="120">
        <v>5</v>
      </c>
      <c r="R27" s="118">
        <v>84.84</v>
      </c>
    </row>
    <row r="28" spans="1:18" ht="15" customHeight="1" x14ac:dyDescent="0.55000000000000004">
      <c r="A28" s="114" t="s">
        <v>216</v>
      </c>
      <c r="B28" s="115" t="s">
        <v>217</v>
      </c>
      <c r="C28" s="116" t="s">
        <v>215</v>
      </c>
      <c r="D28" s="114" t="s">
        <v>43</v>
      </c>
      <c r="E28" s="114" t="s">
        <v>98</v>
      </c>
      <c r="F28" s="114" t="s">
        <v>132</v>
      </c>
      <c r="G28" s="117">
        <v>42409</v>
      </c>
      <c r="H28" s="118">
        <v>69.900000000000006</v>
      </c>
      <c r="I28" s="118">
        <v>68.13</v>
      </c>
      <c r="J28" s="119">
        <v>0.97470000000000001</v>
      </c>
      <c r="K28" s="120">
        <v>15.31</v>
      </c>
      <c r="L28" s="119">
        <v>1.6400000000000001E-2</v>
      </c>
      <c r="M28" s="120">
        <v>0.8</v>
      </c>
      <c r="N28" s="114" t="s">
        <v>48</v>
      </c>
      <c r="O28" s="114" t="s">
        <v>48</v>
      </c>
      <c r="P28" s="119">
        <v>3.4099999999999998E-2</v>
      </c>
      <c r="Q28" s="120">
        <v>10</v>
      </c>
      <c r="R28" s="118">
        <v>66.010000000000005</v>
      </c>
    </row>
    <row r="29" spans="1:18" ht="15" customHeight="1" x14ac:dyDescent="0.55000000000000004">
      <c r="A29" s="114" t="s">
        <v>137</v>
      </c>
      <c r="B29" s="115" t="s">
        <v>138</v>
      </c>
      <c r="C29" s="116" t="s">
        <v>139</v>
      </c>
      <c r="D29" s="114" t="s">
        <v>43</v>
      </c>
      <c r="E29" s="114" t="s">
        <v>44</v>
      </c>
      <c r="F29" s="114" t="s">
        <v>45</v>
      </c>
      <c r="G29" s="117">
        <v>42404</v>
      </c>
      <c r="H29" s="118">
        <v>113.09</v>
      </c>
      <c r="I29" s="118">
        <v>61.41</v>
      </c>
      <c r="J29" s="119">
        <v>0.54300000000000004</v>
      </c>
      <c r="K29" s="120">
        <v>9.84</v>
      </c>
      <c r="L29" s="119">
        <v>2.6700000000000002E-2</v>
      </c>
      <c r="M29" s="120">
        <v>1.5</v>
      </c>
      <c r="N29" s="114" t="s">
        <v>48</v>
      </c>
      <c r="O29" s="114" t="s">
        <v>48</v>
      </c>
      <c r="P29" s="119">
        <v>6.7000000000000002E-3</v>
      </c>
      <c r="Q29" s="120">
        <v>20</v>
      </c>
      <c r="R29" s="118">
        <v>75.3</v>
      </c>
    </row>
    <row r="30" spans="1:18" ht="15" customHeight="1" x14ac:dyDescent="0.55000000000000004">
      <c r="A30" s="114" t="s">
        <v>639</v>
      </c>
      <c r="B30" s="115" t="s">
        <v>640</v>
      </c>
      <c r="C30" s="116" t="s">
        <v>634</v>
      </c>
      <c r="D30" s="114" t="s">
        <v>59</v>
      </c>
      <c r="E30" s="114" t="s">
        <v>98</v>
      </c>
      <c r="F30" s="114" t="s">
        <v>150</v>
      </c>
      <c r="G30" s="117">
        <v>42410</v>
      </c>
      <c r="H30" s="118">
        <v>59.61</v>
      </c>
      <c r="I30" s="118">
        <v>50.51</v>
      </c>
      <c r="J30" s="119">
        <v>0.84730000000000005</v>
      </c>
      <c r="K30" s="120">
        <v>11.91</v>
      </c>
      <c r="L30" s="119">
        <v>1.03E-2</v>
      </c>
      <c r="M30" s="120">
        <v>1.6</v>
      </c>
      <c r="N30" s="120">
        <v>1.58</v>
      </c>
      <c r="O30" s="118">
        <v>-7.33</v>
      </c>
      <c r="P30" s="119">
        <v>1.7100000000000001E-2</v>
      </c>
      <c r="Q30" s="120">
        <v>3</v>
      </c>
      <c r="R30" s="118">
        <v>42.19</v>
      </c>
    </row>
    <row r="31" spans="1:18" ht="15" customHeight="1" x14ac:dyDescent="0.55000000000000004">
      <c r="A31" s="114" t="s">
        <v>1031</v>
      </c>
      <c r="B31" s="115" t="s">
        <v>1032</v>
      </c>
      <c r="C31" s="116" t="s">
        <v>98</v>
      </c>
      <c r="D31" s="114" t="s">
        <v>249</v>
      </c>
      <c r="E31" s="114" t="s">
        <v>80</v>
      </c>
      <c r="F31" s="114" t="s">
        <v>377</v>
      </c>
      <c r="G31" s="117">
        <v>42237</v>
      </c>
      <c r="H31" s="118">
        <v>0</v>
      </c>
      <c r="I31" s="118">
        <v>292.32</v>
      </c>
      <c r="J31" s="114" t="s">
        <v>48</v>
      </c>
      <c r="K31" s="114" t="s">
        <v>48</v>
      </c>
      <c r="L31" s="119">
        <v>6.9999999999999999E-4</v>
      </c>
      <c r="M31" s="120">
        <v>0.8</v>
      </c>
      <c r="N31" s="120">
        <v>1.37</v>
      </c>
      <c r="O31" s="118">
        <v>-142.27000000000001</v>
      </c>
      <c r="P31" s="119">
        <v>-1.7825</v>
      </c>
      <c r="Q31" s="120">
        <v>0</v>
      </c>
      <c r="R31" s="114"/>
    </row>
    <row r="32" spans="1:18" ht="15" customHeight="1" x14ac:dyDescent="0.55000000000000004">
      <c r="A32" s="114" t="s">
        <v>477</v>
      </c>
      <c r="B32" s="115" t="s">
        <v>478</v>
      </c>
      <c r="C32" s="116" t="s">
        <v>479</v>
      </c>
      <c r="D32" s="114" t="s">
        <v>249</v>
      </c>
      <c r="E32" s="114" t="s">
        <v>44</v>
      </c>
      <c r="F32" s="114" t="s">
        <v>250</v>
      </c>
      <c r="G32" s="117">
        <v>42225</v>
      </c>
      <c r="H32" s="118">
        <v>135.34</v>
      </c>
      <c r="I32" s="118">
        <v>45.74</v>
      </c>
      <c r="J32" s="119">
        <v>0.33800000000000002</v>
      </c>
      <c r="K32" s="120">
        <v>12.26</v>
      </c>
      <c r="L32" s="119">
        <v>1.84E-2</v>
      </c>
      <c r="M32" s="120">
        <v>0.8</v>
      </c>
      <c r="N32" s="114" t="s">
        <v>48</v>
      </c>
      <c r="O32" s="114" t="s">
        <v>48</v>
      </c>
      <c r="P32" s="119">
        <v>1.8800000000000001E-2</v>
      </c>
      <c r="Q32" s="114"/>
      <c r="R32" s="114"/>
    </row>
    <row r="33" spans="1:18" ht="15" customHeight="1" x14ac:dyDescent="0.55000000000000004">
      <c r="A33" s="114" t="s">
        <v>82</v>
      </c>
      <c r="B33" s="115" t="s">
        <v>83</v>
      </c>
      <c r="C33" s="116" t="s">
        <v>79</v>
      </c>
      <c r="D33" s="114" t="s">
        <v>59</v>
      </c>
      <c r="E33" s="114" t="s">
        <v>44</v>
      </c>
      <c r="F33" s="114" t="s">
        <v>60</v>
      </c>
      <c r="G33" s="117">
        <v>42416</v>
      </c>
      <c r="H33" s="118">
        <v>189.37</v>
      </c>
      <c r="I33" s="118">
        <v>51.81</v>
      </c>
      <c r="J33" s="119">
        <v>0.27360000000000001</v>
      </c>
      <c r="K33" s="120">
        <v>10.53</v>
      </c>
      <c r="L33" s="119">
        <v>2.47E-2</v>
      </c>
      <c r="M33" s="120">
        <v>1.4</v>
      </c>
      <c r="N33" s="114" t="s">
        <v>48</v>
      </c>
      <c r="O33" s="114" t="s">
        <v>48</v>
      </c>
      <c r="P33" s="119">
        <v>1.0200000000000001E-2</v>
      </c>
      <c r="Q33" s="120">
        <v>3</v>
      </c>
      <c r="R33" s="118">
        <v>83.47</v>
      </c>
    </row>
    <row r="34" spans="1:18" ht="15" customHeight="1" x14ac:dyDescent="0.55000000000000004">
      <c r="A34" s="114" t="s">
        <v>838</v>
      </c>
      <c r="B34" s="115" t="s">
        <v>839</v>
      </c>
      <c r="C34" s="116" t="s">
        <v>829</v>
      </c>
      <c r="D34" s="114" t="s">
        <v>249</v>
      </c>
      <c r="E34" s="114" t="s">
        <v>98</v>
      </c>
      <c r="F34" s="114" t="s">
        <v>412</v>
      </c>
      <c r="G34" s="117">
        <v>42027</v>
      </c>
      <c r="H34" s="118">
        <v>38.450000000000003</v>
      </c>
      <c r="I34" s="118">
        <v>38.32</v>
      </c>
      <c r="J34" s="119">
        <v>0.99660000000000004</v>
      </c>
      <c r="K34" s="120">
        <v>38.32</v>
      </c>
      <c r="L34" s="119">
        <v>3.44E-2</v>
      </c>
      <c r="M34" s="120">
        <v>0.6</v>
      </c>
      <c r="N34" s="120">
        <v>0.47</v>
      </c>
      <c r="O34" s="118">
        <v>-30.9</v>
      </c>
      <c r="P34" s="119">
        <v>0.14910000000000001</v>
      </c>
      <c r="Q34" s="114"/>
      <c r="R34" s="114"/>
    </row>
    <row r="35" spans="1:18" ht="15" customHeight="1" x14ac:dyDescent="0.55000000000000004">
      <c r="A35" s="114" t="s">
        <v>140</v>
      </c>
      <c r="B35" s="115" t="s">
        <v>141</v>
      </c>
      <c r="C35" s="116" t="s">
        <v>142</v>
      </c>
      <c r="D35" s="114" t="s">
        <v>59</v>
      </c>
      <c r="E35" s="114" t="s">
        <v>80</v>
      </c>
      <c r="F35" s="114" t="s">
        <v>81</v>
      </c>
      <c r="G35" s="117">
        <v>42417</v>
      </c>
      <c r="H35" s="118">
        <v>52.27</v>
      </c>
      <c r="I35" s="118">
        <v>73.27</v>
      </c>
      <c r="J35" s="119">
        <v>1.4017999999999999</v>
      </c>
      <c r="K35" s="120">
        <v>14.89</v>
      </c>
      <c r="L35" s="119">
        <v>2.7300000000000001E-2</v>
      </c>
      <c r="M35" s="120">
        <v>0.7</v>
      </c>
      <c r="N35" s="114" t="s">
        <v>48</v>
      </c>
      <c r="O35" s="114" t="s">
        <v>48</v>
      </c>
      <c r="P35" s="119">
        <v>3.2000000000000001E-2</v>
      </c>
      <c r="Q35" s="120">
        <v>13</v>
      </c>
      <c r="R35" s="118">
        <v>93.05</v>
      </c>
    </row>
    <row r="36" spans="1:18" ht="15" customHeight="1" x14ac:dyDescent="0.55000000000000004">
      <c r="A36" s="114" t="s">
        <v>840</v>
      </c>
      <c r="B36" s="115" t="s">
        <v>841</v>
      </c>
      <c r="C36" s="116" t="s">
        <v>829</v>
      </c>
      <c r="D36" s="114" t="s">
        <v>249</v>
      </c>
      <c r="E36" s="114" t="s">
        <v>98</v>
      </c>
      <c r="F36" s="114" t="s">
        <v>412</v>
      </c>
      <c r="G36" s="117">
        <v>42227</v>
      </c>
      <c r="H36" s="118">
        <v>45.27</v>
      </c>
      <c r="I36" s="118">
        <v>40.31</v>
      </c>
      <c r="J36" s="119">
        <v>0.89039999999999997</v>
      </c>
      <c r="K36" s="120">
        <v>20.46</v>
      </c>
      <c r="L36" s="119">
        <v>3.7699999999999997E-2</v>
      </c>
      <c r="M36" s="120">
        <v>1</v>
      </c>
      <c r="N36" s="120">
        <v>1.0900000000000001</v>
      </c>
      <c r="O36" s="118">
        <v>-16.399999999999999</v>
      </c>
      <c r="P36" s="119">
        <v>5.9799999999999999E-2</v>
      </c>
      <c r="Q36" s="120">
        <v>5</v>
      </c>
      <c r="R36" s="114"/>
    </row>
    <row r="37" spans="1:18" ht="15" customHeight="1" x14ac:dyDescent="0.55000000000000004">
      <c r="A37" s="114" t="s">
        <v>641</v>
      </c>
      <c r="B37" s="115" t="s">
        <v>642</v>
      </c>
      <c r="C37" s="116" t="s">
        <v>634</v>
      </c>
      <c r="D37" s="114" t="s">
        <v>59</v>
      </c>
      <c r="E37" s="114" t="s">
        <v>98</v>
      </c>
      <c r="F37" s="114" t="s">
        <v>150</v>
      </c>
      <c r="G37" s="117">
        <v>42396</v>
      </c>
      <c r="H37" s="118">
        <v>56.34</v>
      </c>
      <c r="I37" s="118">
        <v>56.21</v>
      </c>
      <c r="J37" s="119">
        <v>0.99770000000000003</v>
      </c>
      <c r="K37" s="120">
        <v>33.86</v>
      </c>
      <c r="L37" s="114" t="s">
        <v>48</v>
      </c>
      <c r="M37" s="120">
        <v>1.7</v>
      </c>
      <c r="N37" s="120">
        <v>3.65</v>
      </c>
      <c r="O37" s="118">
        <v>0.62</v>
      </c>
      <c r="P37" s="119">
        <v>0.1268</v>
      </c>
      <c r="Q37" s="120">
        <v>0</v>
      </c>
      <c r="R37" s="118">
        <v>26.99</v>
      </c>
    </row>
    <row r="38" spans="1:18" ht="15" customHeight="1" x14ac:dyDescent="0.55000000000000004">
      <c r="A38" s="114" t="s">
        <v>842</v>
      </c>
      <c r="B38" s="115" t="s">
        <v>843</v>
      </c>
      <c r="C38" s="116" t="s">
        <v>829</v>
      </c>
      <c r="D38" s="114" t="s">
        <v>249</v>
      </c>
      <c r="E38" s="114" t="s">
        <v>98</v>
      </c>
      <c r="F38" s="114" t="s">
        <v>412</v>
      </c>
      <c r="G38" s="117">
        <v>42228</v>
      </c>
      <c r="H38" s="118">
        <v>32.729999999999997</v>
      </c>
      <c r="I38" s="118">
        <v>26.63</v>
      </c>
      <c r="J38" s="119">
        <v>0.81359999999999999</v>
      </c>
      <c r="K38" s="120">
        <v>31.33</v>
      </c>
      <c r="L38" s="114" t="s">
        <v>48</v>
      </c>
      <c r="M38" s="120">
        <v>1</v>
      </c>
      <c r="N38" s="120">
        <v>3.68</v>
      </c>
      <c r="O38" s="118">
        <v>-7.5</v>
      </c>
      <c r="P38" s="119">
        <v>0.11409999999999999</v>
      </c>
      <c r="Q38" s="120">
        <v>0</v>
      </c>
      <c r="R38" s="114"/>
    </row>
    <row r="39" spans="1:18" ht="15" customHeight="1" x14ac:dyDescent="0.55000000000000004">
      <c r="A39" s="114" t="s">
        <v>143</v>
      </c>
      <c r="B39" s="115" t="s">
        <v>144</v>
      </c>
      <c r="C39" s="116" t="s">
        <v>142</v>
      </c>
      <c r="D39" s="114" t="s">
        <v>43</v>
      </c>
      <c r="E39" s="114" t="s">
        <v>80</v>
      </c>
      <c r="F39" s="114" t="s">
        <v>145</v>
      </c>
      <c r="G39" s="117">
        <v>42419</v>
      </c>
      <c r="H39" s="118">
        <v>17.649999999999999</v>
      </c>
      <c r="I39" s="118">
        <v>57.71</v>
      </c>
      <c r="J39" s="119">
        <v>3.2696999999999998</v>
      </c>
      <c r="K39" s="120">
        <v>19.829999999999998</v>
      </c>
      <c r="L39" s="119">
        <v>2.01E-2</v>
      </c>
      <c r="M39" s="120">
        <v>2</v>
      </c>
      <c r="N39" s="120">
        <v>1.3</v>
      </c>
      <c r="O39" s="118">
        <v>-42.74</v>
      </c>
      <c r="P39" s="119">
        <v>5.67E-2</v>
      </c>
      <c r="Q39" s="120">
        <v>20</v>
      </c>
      <c r="R39" s="118">
        <v>37.159999999999997</v>
      </c>
    </row>
    <row r="40" spans="1:18" ht="15" customHeight="1" x14ac:dyDescent="0.55000000000000004">
      <c r="A40" s="114" t="s">
        <v>1033</v>
      </c>
      <c r="B40" s="115" t="s">
        <v>1034</v>
      </c>
      <c r="C40" s="116" t="s">
        <v>98</v>
      </c>
      <c r="D40" s="114" t="s">
        <v>249</v>
      </c>
      <c r="E40" s="114" t="s">
        <v>80</v>
      </c>
      <c r="F40" s="114" t="s">
        <v>377</v>
      </c>
      <c r="G40" s="117">
        <v>42228</v>
      </c>
      <c r="H40" s="118">
        <v>5.03</v>
      </c>
      <c r="I40" s="118">
        <v>34.340000000000003</v>
      </c>
      <c r="J40" s="119">
        <v>6.827</v>
      </c>
      <c r="K40" s="120">
        <v>38.159999999999997</v>
      </c>
      <c r="L40" s="119">
        <v>7.0000000000000001E-3</v>
      </c>
      <c r="M40" s="120">
        <v>1.6</v>
      </c>
      <c r="N40" s="120">
        <v>1.35</v>
      </c>
      <c r="O40" s="118">
        <v>-17.190000000000001</v>
      </c>
      <c r="P40" s="119">
        <v>0.14829999999999999</v>
      </c>
      <c r="Q40" s="120">
        <v>3</v>
      </c>
      <c r="R40" s="114"/>
    </row>
    <row r="41" spans="1:18" ht="15" customHeight="1" x14ac:dyDescent="0.55000000000000004">
      <c r="A41" s="114" t="s">
        <v>480</v>
      </c>
      <c r="B41" s="115" t="s">
        <v>481</v>
      </c>
      <c r="C41" s="116" t="s">
        <v>479</v>
      </c>
      <c r="D41" s="114" t="s">
        <v>59</v>
      </c>
      <c r="E41" s="114" t="s">
        <v>80</v>
      </c>
      <c r="F41" s="114" t="s">
        <v>81</v>
      </c>
      <c r="G41" s="117">
        <v>42320</v>
      </c>
      <c r="H41" s="118">
        <v>51.51</v>
      </c>
      <c r="I41" s="118">
        <v>68.510000000000005</v>
      </c>
      <c r="J41" s="119">
        <v>1.33</v>
      </c>
      <c r="K41" s="120">
        <v>51.13</v>
      </c>
      <c r="L41" s="114" t="s">
        <v>48</v>
      </c>
      <c r="M41" s="120">
        <v>2.1</v>
      </c>
      <c r="N41" s="120">
        <v>2.91</v>
      </c>
      <c r="O41" s="118">
        <v>5.31</v>
      </c>
      <c r="P41" s="119">
        <v>0.21310000000000001</v>
      </c>
      <c r="Q41" s="120">
        <v>0</v>
      </c>
      <c r="R41" s="118">
        <v>19.41</v>
      </c>
    </row>
    <row r="42" spans="1:18" ht="15" customHeight="1" x14ac:dyDescent="0.55000000000000004">
      <c r="A42" s="114" t="s">
        <v>844</v>
      </c>
      <c r="B42" s="115" t="s">
        <v>845</v>
      </c>
      <c r="C42" s="116" t="s">
        <v>829</v>
      </c>
      <c r="D42" s="114" t="s">
        <v>249</v>
      </c>
      <c r="E42" s="114" t="s">
        <v>44</v>
      </c>
      <c r="F42" s="114" t="s">
        <v>250</v>
      </c>
      <c r="G42" s="117">
        <v>42230</v>
      </c>
      <c r="H42" s="118">
        <v>163.71</v>
      </c>
      <c r="I42" s="118">
        <v>77.260000000000005</v>
      </c>
      <c r="J42" s="119">
        <v>0.47189999999999999</v>
      </c>
      <c r="K42" s="120">
        <v>18.18</v>
      </c>
      <c r="L42" s="119">
        <v>1.4200000000000001E-2</v>
      </c>
      <c r="M42" s="120">
        <v>0.8</v>
      </c>
      <c r="N42" s="120">
        <v>0.86</v>
      </c>
      <c r="O42" s="118">
        <v>-20.010000000000002</v>
      </c>
      <c r="P42" s="119">
        <v>4.8399999999999999E-2</v>
      </c>
      <c r="Q42" s="120">
        <v>3</v>
      </c>
      <c r="R42" s="114"/>
    </row>
    <row r="43" spans="1:18" ht="15" customHeight="1" x14ac:dyDescent="0.55000000000000004">
      <c r="A43" s="114" t="s">
        <v>84</v>
      </c>
      <c r="B43" s="115" t="s">
        <v>85</v>
      </c>
      <c r="C43" s="116" t="s">
        <v>79</v>
      </c>
      <c r="D43" s="114" t="s">
        <v>59</v>
      </c>
      <c r="E43" s="114" t="s">
        <v>44</v>
      </c>
      <c r="F43" s="114" t="s">
        <v>60</v>
      </c>
      <c r="G43" s="117">
        <v>42306</v>
      </c>
      <c r="H43" s="118">
        <v>188.19</v>
      </c>
      <c r="I43" s="118">
        <v>65.41</v>
      </c>
      <c r="J43" s="119">
        <v>0.34760000000000002</v>
      </c>
      <c r="K43" s="120">
        <v>13.38</v>
      </c>
      <c r="L43" s="119">
        <v>2.0199999999999999E-2</v>
      </c>
      <c r="M43" s="120">
        <v>1.1000000000000001</v>
      </c>
      <c r="N43" s="114" t="s">
        <v>48</v>
      </c>
      <c r="O43" s="114" t="s">
        <v>48</v>
      </c>
      <c r="P43" s="119">
        <v>2.4400000000000002E-2</v>
      </c>
      <c r="Q43" s="120">
        <v>5</v>
      </c>
      <c r="R43" s="118">
        <v>70.88</v>
      </c>
    </row>
    <row r="44" spans="1:18" ht="15" customHeight="1" x14ac:dyDescent="0.55000000000000004">
      <c r="A44" s="114" t="s">
        <v>355</v>
      </c>
      <c r="B44" s="115" t="s">
        <v>356</v>
      </c>
      <c r="C44" s="116" t="s">
        <v>304</v>
      </c>
      <c r="D44" s="114" t="s">
        <v>59</v>
      </c>
      <c r="E44" s="114" t="s">
        <v>98</v>
      </c>
      <c r="F44" s="114" t="s">
        <v>150</v>
      </c>
      <c r="G44" s="117">
        <v>42402</v>
      </c>
      <c r="H44" s="118">
        <v>58.83</v>
      </c>
      <c r="I44" s="118">
        <v>64.64</v>
      </c>
      <c r="J44" s="119">
        <v>1.0988</v>
      </c>
      <c r="K44" s="120">
        <v>42.25</v>
      </c>
      <c r="L44" s="119">
        <v>7.4000000000000003E-3</v>
      </c>
      <c r="M44" s="121" t="e">
        <v>#N/A</v>
      </c>
      <c r="N44" s="120">
        <v>1.69</v>
      </c>
      <c r="O44" s="118">
        <v>-15.84</v>
      </c>
      <c r="P44" s="119">
        <v>0.16869999999999999</v>
      </c>
      <c r="Q44" s="120">
        <v>2</v>
      </c>
      <c r="R44" s="118">
        <v>2.2999999999999998</v>
      </c>
    </row>
    <row r="45" spans="1:18" ht="15" customHeight="1" x14ac:dyDescent="0.55000000000000004">
      <c r="A45" s="114" t="s">
        <v>1035</v>
      </c>
      <c r="B45" s="115" t="s">
        <v>1036</v>
      </c>
      <c r="C45" s="116" t="s">
        <v>98</v>
      </c>
      <c r="D45" s="114" t="s">
        <v>249</v>
      </c>
      <c r="E45" s="114" t="s">
        <v>80</v>
      </c>
      <c r="F45" s="114" t="s">
        <v>377</v>
      </c>
      <c r="G45" s="117">
        <v>42228</v>
      </c>
      <c r="H45" s="118">
        <v>92.71</v>
      </c>
      <c r="I45" s="118">
        <v>151.59</v>
      </c>
      <c r="J45" s="119">
        <v>1.6351</v>
      </c>
      <c r="K45" s="120">
        <v>62.9</v>
      </c>
      <c r="L45" s="114" t="s">
        <v>48</v>
      </c>
      <c r="M45" s="120">
        <v>0.9</v>
      </c>
      <c r="N45" s="120">
        <v>3.29</v>
      </c>
      <c r="O45" s="118">
        <v>-10.18</v>
      </c>
      <c r="P45" s="119">
        <v>0.27200000000000002</v>
      </c>
      <c r="Q45" s="120">
        <v>0</v>
      </c>
      <c r="R45" s="114"/>
    </row>
    <row r="46" spans="1:18" ht="15" customHeight="1" x14ac:dyDescent="0.55000000000000004">
      <c r="A46" s="114" t="s">
        <v>22</v>
      </c>
      <c r="B46" s="115" t="s">
        <v>218</v>
      </c>
      <c r="C46" s="116" t="s">
        <v>215</v>
      </c>
      <c r="D46" s="114" t="s">
        <v>59</v>
      </c>
      <c r="E46" s="114" t="s">
        <v>98</v>
      </c>
      <c r="F46" s="114" t="s">
        <v>150</v>
      </c>
      <c r="G46" s="117">
        <v>42426</v>
      </c>
      <c r="H46" s="118">
        <v>21.88</v>
      </c>
      <c r="I46" s="118">
        <v>19.489999999999998</v>
      </c>
      <c r="J46" s="119">
        <v>0.89080000000000004</v>
      </c>
      <c r="K46" s="120">
        <v>22.15</v>
      </c>
      <c r="L46" s="119">
        <v>2.0500000000000001E-2</v>
      </c>
      <c r="M46" s="120">
        <v>1.8</v>
      </c>
      <c r="N46" s="120">
        <v>3</v>
      </c>
      <c r="O46" s="118">
        <v>0.65</v>
      </c>
      <c r="P46" s="119">
        <v>6.8199999999999997E-2</v>
      </c>
      <c r="Q46" s="120">
        <v>0</v>
      </c>
      <c r="R46" s="118">
        <v>12.57</v>
      </c>
    </row>
    <row r="47" spans="1:18" ht="15" customHeight="1" x14ac:dyDescent="0.55000000000000004">
      <c r="A47" s="114" t="s">
        <v>482</v>
      </c>
      <c r="B47" s="115" t="s">
        <v>483</v>
      </c>
      <c r="C47" s="116" t="s">
        <v>479</v>
      </c>
      <c r="D47" s="114" t="s">
        <v>249</v>
      </c>
      <c r="E47" s="114" t="s">
        <v>44</v>
      </c>
      <c r="F47" s="114" t="s">
        <v>250</v>
      </c>
      <c r="G47" s="117">
        <v>42231</v>
      </c>
      <c r="H47" s="118">
        <v>141.01</v>
      </c>
      <c r="I47" s="118">
        <v>64.14</v>
      </c>
      <c r="J47" s="119">
        <v>0.45490000000000003</v>
      </c>
      <c r="K47" s="120">
        <v>17.52</v>
      </c>
      <c r="L47" s="114" t="s">
        <v>48</v>
      </c>
      <c r="M47" s="120">
        <v>1</v>
      </c>
      <c r="N47" s="120">
        <v>1.81</v>
      </c>
      <c r="O47" s="118">
        <v>-39.869999999999997</v>
      </c>
      <c r="P47" s="119">
        <v>4.5100000000000001E-2</v>
      </c>
      <c r="Q47" s="120">
        <v>0</v>
      </c>
      <c r="R47" s="114"/>
    </row>
    <row r="48" spans="1:18" ht="15" customHeight="1" x14ac:dyDescent="0.55000000000000004">
      <c r="A48" s="114" t="s">
        <v>1037</v>
      </c>
      <c r="B48" s="115" t="s">
        <v>1038</v>
      </c>
      <c r="C48" s="116" t="s">
        <v>98</v>
      </c>
      <c r="D48" s="114" t="s">
        <v>249</v>
      </c>
      <c r="E48" s="114" t="s">
        <v>80</v>
      </c>
      <c r="F48" s="114" t="s">
        <v>377</v>
      </c>
      <c r="G48" s="117">
        <v>42232</v>
      </c>
      <c r="H48" s="118">
        <v>0</v>
      </c>
      <c r="I48" s="118">
        <v>2.3199999999999998</v>
      </c>
      <c r="J48" s="114" t="s">
        <v>48</v>
      </c>
      <c r="K48" s="114" t="s">
        <v>48</v>
      </c>
      <c r="L48" s="114" t="s">
        <v>48</v>
      </c>
      <c r="M48" s="120">
        <v>2.1</v>
      </c>
      <c r="N48" s="120">
        <v>1.75</v>
      </c>
      <c r="O48" s="118">
        <v>-1.38</v>
      </c>
      <c r="P48" s="119">
        <v>-6.25E-2</v>
      </c>
      <c r="Q48" s="120">
        <v>0</v>
      </c>
      <c r="R48" s="114"/>
    </row>
    <row r="49" spans="1:18" ht="15" customHeight="1" x14ac:dyDescent="0.55000000000000004">
      <c r="A49" s="114" t="s">
        <v>643</v>
      </c>
      <c r="B49" s="115" t="s">
        <v>644</v>
      </c>
      <c r="C49" s="116" t="s">
        <v>634</v>
      </c>
      <c r="D49" s="114" t="s">
        <v>59</v>
      </c>
      <c r="E49" s="114" t="s">
        <v>44</v>
      </c>
      <c r="F49" s="114" t="s">
        <v>60</v>
      </c>
      <c r="G49" s="117">
        <v>42403</v>
      </c>
      <c r="H49" s="118">
        <v>76.680000000000007</v>
      </c>
      <c r="I49" s="118">
        <v>47.86</v>
      </c>
      <c r="J49" s="119">
        <v>0.62419999999999998</v>
      </c>
      <c r="K49" s="120">
        <v>21.37</v>
      </c>
      <c r="L49" s="119">
        <v>7.4999999999999997E-3</v>
      </c>
      <c r="M49" s="120">
        <v>1.3</v>
      </c>
      <c r="N49" s="120">
        <v>1.72</v>
      </c>
      <c r="O49" s="118">
        <v>-7.2</v>
      </c>
      <c r="P49" s="119">
        <v>6.4299999999999996E-2</v>
      </c>
      <c r="Q49" s="120">
        <v>6</v>
      </c>
      <c r="R49" s="118">
        <v>28.06</v>
      </c>
    </row>
    <row r="50" spans="1:18" ht="15" customHeight="1" x14ac:dyDescent="0.55000000000000004">
      <c r="A50" s="114" t="s">
        <v>484</v>
      </c>
      <c r="B50" s="115" t="s">
        <v>485</v>
      </c>
      <c r="C50" s="116" t="s">
        <v>479</v>
      </c>
      <c r="D50" s="114" t="s">
        <v>249</v>
      </c>
      <c r="E50" s="114" t="s">
        <v>44</v>
      </c>
      <c r="F50" s="114" t="s">
        <v>250</v>
      </c>
      <c r="G50" s="117">
        <v>42244</v>
      </c>
      <c r="H50" s="118">
        <v>310.45999999999998</v>
      </c>
      <c r="I50" s="118">
        <v>145.19</v>
      </c>
      <c r="J50" s="119">
        <v>0.4677</v>
      </c>
      <c r="K50" s="120">
        <v>18.010000000000002</v>
      </c>
      <c r="L50" s="114" t="s">
        <v>48</v>
      </c>
      <c r="M50" s="120">
        <v>1.5</v>
      </c>
      <c r="N50" s="120">
        <v>2.21</v>
      </c>
      <c r="O50" s="118">
        <v>-63.13</v>
      </c>
      <c r="P50" s="119">
        <v>4.7600000000000003E-2</v>
      </c>
      <c r="Q50" s="120">
        <v>0</v>
      </c>
      <c r="R50" s="114"/>
    </row>
    <row r="51" spans="1:18" ht="15" customHeight="1" x14ac:dyDescent="0.55000000000000004">
      <c r="A51" s="114" t="s">
        <v>146</v>
      </c>
      <c r="B51" s="115" t="s">
        <v>147</v>
      </c>
      <c r="C51" s="116" t="s">
        <v>142</v>
      </c>
      <c r="D51" s="114" t="s">
        <v>59</v>
      </c>
      <c r="E51" s="114" t="s">
        <v>44</v>
      </c>
      <c r="F51" s="114" t="s">
        <v>60</v>
      </c>
      <c r="G51" s="117">
        <v>42417</v>
      </c>
      <c r="H51" s="118">
        <v>279.39</v>
      </c>
      <c r="I51" s="118">
        <v>147.49</v>
      </c>
      <c r="J51" s="119">
        <v>0.52790000000000004</v>
      </c>
      <c r="K51" s="120">
        <v>17.27</v>
      </c>
      <c r="L51" s="119">
        <v>2.7099999999999999E-2</v>
      </c>
      <c r="M51" s="120">
        <v>0.8</v>
      </c>
      <c r="N51" s="120">
        <v>4.4400000000000004</v>
      </c>
      <c r="O51" s="118">
        <v>-6.49</v>
      </c>
      <c r="P51" s="119">
        <v>4.3900000000000002E-2</v>
      </c>
      <c r="Q51" s="120">
        <v>6</v>
      </c>
      <c r="R51" s="118">
        <v>94.23</v>
      </c>
    </row>
    <row r="52" spans="1:18" ht="15" customHeight="1" x14ac:dyDescent="0.55000000000000004">
      <c r="A52" s="114" t="s">
        <v>86</v>
      </c>
      <c r="B52" s="115" t="s">
        <v>87</v>
      </c>
      <c r="C52" s="116" t="s">
        <v>79</v>
      </c>
      <c r="D52" s="114" t="s">
        <v>59</v>
      </c>
      <c r="E52" s="114" t="s">
        <v>44</v>
      </c>
      <c r="F52" s="114" t="s">
        <v>60</v>
      </c>
      <c r="G52" s="117">
        <v>42324</v>
      </c>
      <c r="H52" s="118">
        <v>282.18</v>
      </c>
      <c r="I52" s="118">
        <v>87.89</v>
      </c>
      <c r="J52" s="119">
        <v>0.3115</v>
      </c>
      <c r="K52" s="120">
        <v>11.99</v>
      </c>
      <c r="L52" s="119">
        <v>3.0499999999999999E-2</v>
      </c>
      <c r="M52" s="120">
        <v>1.7</v>
      </c>
      <c r="N52" s="114" t="s">
        <v>48</v>
      </c>
      <c r="O52" s="114" t="s">
        <v>48</v>
      </c>
      <c r="P52" s="119">
        <v>1.7500000000000002E-2</v>
      </c>
      <c r="Q52" s="120">
        <v>11</v>
      </c>
      <c r="R52" s="118">
        <v>91.7</v>
      </c>
    </row>
    <row r="53" spans="1:18" ht="15" customHeight="1" x14ac:dyDescent="0.55000000000000004">
      <c r="A53" s="114" t="s">
        <v>716</v>
      </c>
      <c r="B53" s="115" t="s">
        <v>717</v>
      </c>
      <c r="C53" s="116" t="s">
        <v>43</v>
      </c>
      <c r="D53" s="114" t="s">
        <v>249</v>
      </c>
      <c r="E53" s="114" t="s">
        <v>80</v>
      </c>
      <c r="F53" s="114" t="s">
        <v>377</v>
      </c>
      <c r="G53" s="117">
        <v>42325</v>
      </c>
      <c r="H53" s="118">
        <v>69.25</v>
      </c>
      <c r="I53" s="118">
        <v>94.62</v>
      </c>
      <c r="J53" s="119">
        <v>1.3664000000000001</v>
      </c>
      <c r="K53" s="120">
        <v>52.57</v>
      </c>
      <c r="L53" s="119">
        <v>2.07E-2</v>
      </c>
      <c r="M53" s="120">
        <v>0.5</v>
      </c>
      <c r="N53" s="120">
        <v>0.69</v>
      </c>
      <c r="O53" s="118">
        <v>-45.34</v>
      </c>
      <c r="P53" s="119">
        <v>0.2203</v>
      </c>
      <c r="Q53" s="120">
        <v>4</v>
      </c>
      <c r="R53" s="118">
        <v>27.37</v>
      </c>
    </row>
    <row r="54" spans="1:18" ht="15" customHeight="1" x14ac:dyDescent="0.55000000000000004">
      <c r="A54" s="114" t="s">
        <v>1039</v>
      </c>
      <c r="B54" s="115" t="s">
        <v>1040</v>
      </c>
      <c r="C54" s="116" t="s">
        <v>98</v>
      </c>
      <c r="D54" s="114" t="s">
        <v>249</v>
      </c>
      <c r="E54" s="114" t="s">
        <v>80</v>
      </c>
      <c r="F54" s="114" t="s">
        <v>377</v>
      </c>
      <c r="G54" s="117">
        <v>42028</v>
      </c>
      <c r="H54" s="118">
        <v>0</v>
      </c>
      <c r="I54" s="118">
        <v>580.21</v>
      </c>
      <c r="J54" s="114" t="s">
        <v>48</v>
      </c>
      <c r="K54" s="122">
        <v>29010.5</v>
      </c>
      <c r="L54" s="114" t="s">
        <v>48</v>
      </c>
      <c r="M54" s="120">
        <v>1.1000000000000001</v>
      </c>
      <c r="N54" s="120">
        <v>0.89</v>
      </c>
      <c r="O54" s="118">
        <v>-24.86</v>
      </c>
      <c r="P54" s="119">
        <v>145.01</v>
      </c>
      <c r="Q54" s="114"/>
      <c r="R54" s="114"/>
    </row>
    <row r="55" spans="1:18" ht="15" customHeight="1" x14ac:dyDescent="0.55000000000000004">
      <c r="A55" s="114" t="s">
        <v>486</v>
      </c>
      <c r="B55" s="115" t="s">
        <v>487</v>
      </c>
      <c r="C55" s="116" t="s">
        <v>479</v>
      </c>
      <c r="D55" s="114" t="s">
        <v>249</v>
      </c>
      <c r="E55" s="114" t="s">
        <v>44</v>
      </c>
      <c r="F55" s="114" t="s">
        <v>250</v>
      </c>
      <c r="G55" s="117">
        <v>42333</v>
      </c>
      <c r="H55" s="118">
        <v>129.62</v>
      </c>
      <c r="I55" s="118">
        <v>51.55</v>
      </c>
      <c r="J55" s="119">
        <v>0.3977</v>
      </c>
      <c r="K55" s="120">
        <v>15.3</v>
      </c>
      <c r="L55" s="114" t="s">
        <v>48</v>
      </c>
      <c r="M55" s="120">
        <v>1.1000000000000001</v>
      </c>
      <c r="N55" s="120">
        <v>0.95</v>
      </c>
      <c r="O55" s="118">
        <v>-20.55</v>
      </c>
      <c r="P55" s="119">
        <v>3.4000000000000002E-2</v>
      </c>
      <c r="Q55" s="120">
        <v>0</v>
      </c>
      <c r="R55" s="118">
        <v>43.22</v>
      </c>
    </row>
    <row r="56" spans="1:18" ht="15" customHeight="1" x14ac:dyDescent="0.55000000000000004">
      <c r="A56" s="114" t="s">
        <v>718</v>
      </c>
      <c r="B56" s="115" t="s">
        <v>719</v>
      </c>
      <c r="C56" s="116" t="s">
        <v>43</v>
      </c>
      <c r="D56" s="114" t="s">
        <v>249</v>
      </c>
      <c r="E56" s="114" t="s">
        <v>80</v>
      </c>
      <c r="F56" s="114" t="s">
        <v>377</v>
      </c>
      <c r="G56" s="117">
        <v>42327</v>
      </c>
      <c r="H56" s="118">
        <v>0</v>
      </c>
      <c r="I56" s="118">
        <v>30.41</v>
      </c>
      <c r="J56" s="114" t="s">
        <v>48</v>
      </c>
      <c r="K56" s="120">
        <v>41.66</v>
      </c>
      <c r="L56" s="119">
        <v>2.63E-2</v>
      </c>
      <c r="M56" s="120">
        <v>1.3</v>
      </c>
      <c r="N56" s="120">
        <v>2.08</v>
      </c>
      <c r="O56" s="118">
        <v>-0.5</v>
      </c>
      <c r="P56" s="119">
        <v>0.1658</v>
      </c>
      <c r="Q56" s="120">
        <v>0</v>
      </c>
      <c r="R56" s="114" t="s">
        <v>48</v>
      </c>
    </row>
    <row r="57" spans="1:18" ht="15" customHeight="1" x14ac:dyDescent="0.55000000000000004">
      <c r="A57" s="114" t="s">
        <v>357</v>
      </c>
      <c r="B57" s="115" t="s">
        <v>358</v>
      </c>
      <c r="C57" s="116" t="s">
        <v>304</v>
      </c>
      <c r="D57" s="114" t="s">
        <v>59</v>
      </c>
      <c r="E57" s="114" t="s">
        <v>80</v>
      </c>
      <c r="F57" s="114" t="s">
        <v>81</v>
      </c>
      <c r="G57" s="117">
        <v>42327</v>
      </c>
      <c r="H57" s="118">
        <v>73.849999999999994</v>
      </c>
      <c r="I57" s="118">
        <v>86.07</v>
      </c>
      <c r="J57" s="119">
        <v>1.1655</v>
      </c>
      <c r="K57" s="120">
        <v>32.979999999999997</v>
      </c>
      <c r="L57" s="114" t="s">
        <v>48</v>
      </c>
      <c r="M57" s="120">
        <v>1</v>
      </c>
      <c r="N57" s="120">
        <v>2.54</v>
      </c>
      <c r="O57" s="118">
        <v>6.06</v>
      </c>
      <c r="P57" s="119">
        <v>0.12239999999999999</v>
      </c>
      <c r="Q57" s="120">
        <v>0</v>
      </c>
      <c r="R57" s="118">
        <v>40.06</v>
      </c>
    </row>
    <row r="58" spans="1:18" ht="15" customHeight="1" x14ac:dyDescent="0.55000000000000004">
      <c r="A58" s="114" t="s">
        <v>148</v>
      </c>
      <c r="B58" s="115" t="s">
        <v>149</v>
      </c>
      <c r="C58" s="116" t="s">
        <v>142</v>
      </c>
      <c r="D58" s="114" t="s">
        <v>59</v>
      </c>
      <c r="E58" s="114" t="s">
        <v>98</v>
      </c>
      <c r="F58" s="114" t="s">
        <v>150</v>
      </c>
      <c r="G58" s="117">
        <v>42409</v>
      </c>
      <c r="H58" s="118">
        <v>163.82</v>
      </c>
      <c r="I58" s="118">
        <v>134.09</v>
      </c>
      <c r="J58" s="119">
        <v>0.81850000000000001</v>
      </c>
      <c r="K58" s="120">
        <v>13.7</v>
      </c>
      <c r="L58" s="119">
        <v>1.9400000000000001E-2</v>
      </c>
      <c r="M58" s="120">
        <v>0.6</v>
      </c>
      <c r="N58" s="114" t="s">
        <v>48</v>
      </c>
      <c r="O58" s="114" t="s">
        <v>48</v>
      </c>
      <c r="P58" s="119">
        <v>2.5999999999999999E-2</v>
      </c>
      <c r="Q58" s="120">
        <v>6</v>
      </c>
      <c r="R58" s="118">
        <v>145.79</v>
      </c>
    </row>
    <row r="59" spans="1:18" ht="15" customHeight="1" x14ac:dyDescent="0.55000000000000004">
      <c r="A59" s="114" t="s">
        <v>1041</v>
      </c>
      <c r="B59" s="115" t="s">
        <v>1042</v>
      </c>
      <c r="C59" s="116" t="s">
        <v>98</v>
      </c>
      <c r="D59" s="114" t="s">
        <v>249</v>
      </c>
      <c r="E59" s="114" t="s">
        <v>80</v>
      </c>
      <c r="F59" s="114" t="s">
        <v>377</v>
      </c>
      <c r="G59" s="117">
        <v>42396</v>
      </c>
      <c r="H59" s="118">
        <v>87.72</v>
      </c>
      <c r="I59" s="118">
        <v>97.39</v>
      </c>
      <c r="J59" s="119">
        <v>1.1102000000000001</v>
      </c>
      <c r="K59" s="120">
        <v>23.47</v>
      </c>
      <c r="L59" s="119">
        <v>1.23E-2</v>
      </c>
      <c r="M59" s="120">
        <v>1.1000000000000001</v>
      </c>
      <c r="N59" s="120">
        <v>1.03</v>
      </c>
      <c r="O59" s="118">
        <v>-26.09</v>
      </c>
      <c r="P59" s="119">
        <v>7.4800000000000005E-2</v>
      </c>
      <c r="Q59" s="120">
        <v>4</v>
      </c>
      <c r="R59" s="118">
        <v>48.36</v>
      </c>
    </row>
    <row r="60" spans="1:18" ht="15" customHeight="1" x14ac:dyDescent="0.55000000000000004">
      <c r="A60" s="114" t="s">
        <v>645</v>
      </c>
      <c r="B60" s="115" t="s">
        <v>646</v>
      </c>
      <c r="C60" s="116" t="s">
        <v>634</v>
      </c>
      <c r="D60" s="114" t="s">
        <v>59</v>
      </c>
      <c r="E60" s="114" t="s">
        <v>80</v>
      </c>
      <c r="F60" s="114" t="s">
        <v>81</v>
      </c>
      <c r="G60" s="117">
        <v>42332</v>
      </c>
      <c r="H60" s="118">
        <v>45.02</v>
      </c>
      <c r="I60" s="118">
        <v>72.86</v>
      </c>
      <c r="J60" s="119">
        <v>1.6184000000000001</v>
      </c>
      <c r="K60" s="120">
        <v>29.86</v>
      </c>
      <c r="L60" s="119">
        <v>1.32E-2</v>
      </c>
      <c r="M60" s="120">
        <v>1.5</v>
      </c>
      <c r="N60" s="120">
        <v>2.27</v>
      </c>
      <c r="O60" s="118">
        <v>2.64</v>
      </c>
      <c r="P60" s="119">
        <v>0.10680000000000001</v>
      </c>
      <c r="Q60" s="120">
        <v>20</v>
      </c>
      <c r="R60" s="118">
        <v>33.24</v>
      </c>
    </row>
    <row r="61" spans="1:18" ht="15" customHeight="1" x14ac:dyDescent="0.55000000000000004">
      <c r="A61" s="114" t="s">
        <v>720</v>
      </c>
      <c r="B61" s="115" t="s">
        <v>721</v>
      </c>
      <c r="C61" s="116" t="s">
        <v>43</v>
      </c>
      <c r="D61" s="114" t="s">
        <v>249</v>
      </c>
      <c r="E61" s="114" t="s">
        <v>80</v>
      </c>
      <c r="F61" s="114" t="s">
        <v>377</v>
      </c>
      <c r="G61" s="117">
        <v>42399</v>
      </c>
      <c r="H61" s="118">
        <v>0</v>
      </c>
      <c r="I61" s="118">
        <v>41.96</v>
      </c>
      <c r="J61" s="114" t="s">
        <v>48</v>
      </c>
      <c r="K61" s="114" t="s">
        <v>48</v>
      </c>
      <c r="L61" s="119">
        <v>2.3800000000000002E-2</v>
      </c>
      <c r="M61" s="120">
        <v>1.5</v>
      </c>
      <c r="N61" s="120">
        <v>1.88</v>
      </c>
      <c r="O61" s="118">
        <v>-36.840000000000003</v>
      </c>
      <c r="P61" s="119">
        <v>-5.6000000000000001E-2</v>
      </c>
      <c r="Q61" s="120">
        <v>4</v>
      </c>
      <c r="R61" s="114" t="s">
        <v>48</v>
      </c>
    </row>
    <row r="62" spans="1:18" ht="15" customHeight="1" x14ac:dyDescent="0.55000000000000004">
      <c r="A62" s="114" t="s">
        <v>1043</v>
      </c>
      <c r="B62" s="115" t="s">
        <v>1044</v>
      </c>
      <c r="C62" s="116" t="s">
        <v>98</v>
      </c>
      <c r="D62" s="114" t="s">
        <v>249</v>
      </c>
      <c r="E62" s="114" t="s">
        <v>80</v>
      </c>
      <c r="F62" s="114" t="s">
        <v>377</v>
      </c>
      <c r="G62" s="117">
        <v>42398</v>
      </c>
      <c r="H62" s="118">
        <v>0</v>
      </c>
      <c r="I62" s="118">
        <v>42.64</v>
      </c>
      <c r="J62" s="114" t="s">
        <v>48</v>
      </c>
      <c r="K62" s="114" t="s">
        <v>48</v>
      </c>
      <c r="L62" s="119">
        <v>4.7000000000000002E-3</v>
      </c>
      <c r="M62" s="120">
        <v>1.4</v>
      </c>
      <c r="N62" s="120">
        <v>1.17</v>
      </c>
      <c r="O62" s="118">
        <v>-58.89</v>
      </c>
      <c r="P62" s="119">
        <v>-9.11E-2</v>
      </c>
      <c r="Q62" s="120">
        <v>3</v>
      </c>
      <c r="R62" s="114" t="s">
        <v>48</v>
      </c>
    </row>
    <row r="63" spans="1:18" ht="15" customHeight="1" x14ac:dyDescent="0.55000000000000004">
      <c r="A63" s="114" t="s">
        <v>219</v>
      </c>
      <c r="B63" s="115" t="s">
        <v>220</v>
      </c>
      <c r="C63" s="116" t="s">
        <v>215</v>
      </c>
      <c r="D63" s="114" t="s">
        <v>59</v>
      </c>
      <c r="E63" s="114" t="s">
        <v>80</v>
      </c>
      <c r="F63" s="114" t="s">
        <v>81</v>
      </c>
      <c r="G63" s="117">
        <v>42409</v>
      </c>
      <c r="H63" s="118">
        <v>86.15</v>
      </c>
      <c r="I63" s="118">
        <v>134.22</v>
      </c>
      <c r="J63" s="119">
        <v>1.5580000000000001</v>
      </c>
      <c r="K63" s="120">
        <v>22.63</v>
      </c>
      <c r="L63" s="119">
        <v>2.41E-2</v>
      </c>
      <c r="M63" s="120">
        <v>1.2</v>
      </c>
      <c r="N63" s="120">
        <v>0.8</v>
      </c>
      <c r="O63" s="118">
        <v>-33.450000000000003</v>
      </c>
      <c r="P63" s="119">
        <v>7.0699999999999999E-2</v>
      </c>
      <c r="Q63" s="120">
        <v>20</v>
      </c>
      <c r="R63" s="118">
        <v>74.61</v>
      </c>
    </row>
    <row r="64" spans="1:18" ht="15" customHeight="1" x14ac:dyDescent="0.55000000000000004">
      <c r="A64" s="114" t="s">
        <v>359</v>
      </c>
      <c r="B64" s="115" t="s">
        <v>360</v>
      </c>
      <c r="C64" s="116" t="s">
        <v>304</v>
      </c>
      <c r="D64" s="114" t="s">
        <v>59</v>
      </c>
      <c r="E64" s="114" t="s">
        <v>98</v>
      </c>
      <c r="F64" s="114" t="s">
        <v>150</v>
      </c>
      <c r="G64" s="117">
        <v>42373</v>
      </c>
      <c r="H64" s="118">
        <v>57.49</v>
      </c>
      <c r="I64" s="118">
        <v>55.19</v>
      </c>
      <c r="J64" s="119">
        <v>0.96</v>
      </c>
      <c r="K64" s="120">
        <v>26.28</v>
      </c>
      <c r="L64" s="119">
        <v>1.01E-2</v>
      </c>
      <c r="M64" s="120">
        <v>1.2</v>
      </c>
      <c r="N64" s="120">
        <v>3.57</v>
      </c>
      <c r="O64" s="118">
        <v>-1.52</v>
      </c>
      <c r="P64" s="119">
        <v>8.8900000000000007E-2</v>
      </c>
      <c r="Q64" s="120">
        <v>4</v>
      </c>
      <c r="R64" s="118">
        <v>23.32</v>
      </c>
    </row>
    <row r="65" spans="1:18" ht="15" customHeight="1" x14ac:dyDescent="0.55000000000000004">
      <c r="A65" s="114" t="s">
        <v>722</v>
      </c>
      <c r="B65" s="115" t="s">
        <v>723</v>
      </c>
      <c r="C65" s="116" t="s">
        <v>43</v>
      </c>
      <c r="D65" s="114" t="s">
        <v>249</v>
      </c>
      <c r="E65" s="114" t="s">
        <v>80</v>
      </c>
      <c r="F65" s="114" t="s">
        <v>377</v>
      </c>
      <c r="G65" s="117">
        <v>42238</v>
      </c>
      <c r="H65" s="118">
        <v>1.92</v>
      </c>
      <c r="I65" s="118">
        <v>8.35</v>
      </c>
      <c r="J65" s="119">
        <v>4.3490000000000002</v>
      </c>
      <c r="K65" s="120">
        <v>4.49</v>
      </c>
      <c r="L65" s="114" t="s">
        <v>48</v>
      </c>
      <c r="M65" s="120">
        <v>1</v>
      </c>
      <c r="N65" s="120">
        <v>1.65</v>
      </c>
      <c r="O65" s="118">
        <v>1.92</v>
      </c>
      <c r="P65" s="119">
        <v>-2.01E-2</v>
      </c>
      <c r="Q65" s="120">
        <v>0</v>
      </c>
      <c r="R65" s="114"/>
    </row>
    <row r="66" spans="1:18" ht="15" customHeight="1" x14ac:dyDescent="0.55000000000000004">
      <c r="A66" s="114" t="s">
        <v>724</v>
      </c>
      <c r="B66" s="115" t="s">
        <v>725</v>
      </c>
      <c r="C66" s="116" t="s">
        <v>43</v>
      </c>
      <c r="D66" s="114" t="s">
        <v>249</v>
      </c>
      <c r="E66" s="114" t="s">
        <v>80</v>
      </c>
      <c r="F66" s="114" t="s">
        <v>377</v>
      </c>
      <c r="G66" s="117">
        <v>42239</v>
      </c>
      <c r="H66" s="118">
        <v>8.7200000000000006</v>
      </c>
      <c r="I66" s="118">
        <v>81.14</v>
      </c>
      <c r="J66" s="119">
        <v>9.3049999999999997</v>
      </c>
      <c r="K66" s="120">
        <v>41.4</v>
      </c>
      <c r="L66" s="119">
        <v>3.7999999999999999E-2</v>
      </c>
      <c r="M66" s="120">
        <v>0.9</v>
      </c>
      <c r="N66" s="114" t="s">
        <v>48</v>
      </c>
      <c r="O66" s="114" t="s">
        <v>48</v>
      </c>
      <c r="P66" s="119">
        <v>0.16450000000000001</v>
      </c>
      <c r="Q66" s="120">
        <v>5</v>
      </c>
      <c r="R66" s="114"/>
    </row>
    <row r="67" spans="1:18" ht="15" customHeight="1" x14ac:dyDescent="0.55000000000000004">
      <c r="A67" s="114" t="s">
        <v>1045</v>
      </c>
      <c r="B67" s="115" t="s">
        <v>1046</v>
      </c>
      <c r="C67" s="116" t="s">
        <v>98</v>
      </c>
      <c r="D67" s="114" t="s">
        <v>249</v>
      </c>
      <c r="E67" s="114" t="s">
        <v>80</v>
      </c>
      <c r="F67" s="114" t="s">
        <v>377</v>
      </c>
      <c r="G67" s="117">
        <v>42415</v>
      </c>
      <c r="H67" s="118">
        <v>102.95</v>
      </c>
      <c r="I67" s="118">
        <v>141.68</v>
      </c>
      <c r="J67" s="119">
        <v>1.3762000000000001</v>
      </c>
      <c r="K67" s="120">
        <v>30.6</v>
      </c>
      <c r="L67" s="119">
        <v>1.6899999999999998E-2</v>
      </c>
      <c r="M67" s="120">
        <v>0.7</v>
      </c>
      <c r="N67" s="120">
        <v>1.1200000000000001</v>
      </c>
      <c r="O67" s="118">
        <v>-37.9</v>
      </c>
      <c r="P67" s="119">
        <v>0.1105</v>
      </c>
      <c r="Q67" s="120">
        <v>13</v>
      </c>
      <c r="R67" s="118">
        <v>53.59</v>
      </c>
    </row>
    <row r="68" spans="1:18" ht="15" customHeight="1" x14ac:dyDescent="0.55000000000000004">
      <c r="A68" s="114" t="s">
        <v>361</v>
      </c>
      <c r="B68" s="115" t="s">
        <v>362</v>
      </c>
      <c r="C68" s="116" t="s">
        <v>304</v>
      </c>
      <c r="D68" s="114" t="s">
        <v>249</v>
      </c>
      <c r="E68" s="114" t="s">
        <v>44</v>
      </c>
      <c r="F68" s="114" t="s">
        <v>250</v>
      </c>
      <c r="G68" s="117">
        <v>42215</v>
      </c>
      <c r="H68" s="118">
        <v>62.52</v>
      </c>
      <c r="I68" s="118">
        <v>11.06</v>
      </c>
      <c r="J68" s="119">
        <v>0.1769</v>
      </c>
      <c r="K68" s="120">
        <v>3.01</v>
      </c>
      <c r="L68" s="119">
        <v>0.24410000000000001</v>
      </c>
      <c r="M68" s="120">
        <v>0.8</v>
      </c>
      <c r="N68" s="120">
        <v>0.86</v>
      </c>
      <c r="O68" s="118">
        <v>-12.63</v>
      </c>
      <c r="P68" s="119">
        <v>-2.75E-2</v>
      </c>
      <c r="Q68" s="114"/>
      <c r="R68" s="114"/>
    </row>
    <row r="69" spans="1:18" ht="15" customHeight="1" x14ac:dyDescent="0.55000000000000004">
      <c r="A69" s="114" t="s">
        <v>488</v>
      </c>
      <c r="B69" s="115" t="s">
        <v>489</v>
      </c>
      <c r="C69" s="116" t="s">
        <v>479</v>
      </c>
      <c r="D69" s="114" t="s">
        <v>249</v>
      </c>
      <c r="E69" s="114" t="s">
        <v>44</v>
      </c>
      <c r="F69" s="114" t="s">
        <v>250</v>
      </c>
      <c r="G69" s="117">
        <v>42240</v>
      </c>
      <c r="H69" s="118">
        <v>38.5</v>
      </c>
      <c r="I69" s="118">
        <v>24.05</v>
      </c>
      <c r="J69" s="119">
        <v>0.62470000000000003</v>
      </c>
      <c r="K69" s="120">
        <v>24.05</v>
      </c>
      <c r="L69" s="114" t="s">
        <v>48</v>
      </c>
      <c r="M69" s="120">
        <v>1.1000000000000001</v>
      </c>
      <c r="N69" s="120">
        <v>2.0099999999999998</v>
      </c>
      <c r="O69" s="118">
        <v>-5.0199999999999996</v>
      </c>
      <c r="P69" s="119">
        <v>7.7799999999999994E-2</v>
      </c>
      <c r="Q69" s="120">
        <v>0</v>
      </c>
      <c r="R69" s="114"/>
    </row>
    <row r="70" spans="1:18" ht="15" customHeight="1" x14ac:dyDescent="0.55000000000000004">
      <c r="A70" s="114" t="s">
        <v>298</v>
      </c>
      <c r="B70" s="115" t="s">
        <v>299</v>
      </c>
      <c r="C70" s="116" t="s">
        <v>297</v>
      </c>
      <c r="D70" s="114" t="s">
        <v>59</v>
      </c>
      <c r="E70" s="114" t="s">
        <v>44</v>
      </c>
      <c r="F70" s="114" t="s">
        <v>60</v>
      </c>
      <c r="G70" s="117">
        <v>42349</v>
      </c>
      <c r="H70" s="118">
        <v>171.14</v>
      </c>
      <c r="I70" s="118">
        <v>59.07</v>
      </c>
      <c r="J70" s="119">
        <v>0.34520000000000001</v>
      </c>
      <c r="K70" s="120">
        <v>12.26</v>
      </c>
      <c r="L70" s="114" t="s">
        <v>48</v>
      </c>
      <c r="M70" s="120">
        <v>1.5</v>
      </c>
      <c r="N70" s="120">
        <v>1.77</v>
      </c>
      <c r="O70" s="118">
        <v>3.5</v>
      </c>
      <c r="P70" s="119">
        <v>1.8800000000000001E-2</v>
      </c>
      <c r="Q70" s="120">
        <v>0</v>
      </c>
      <c r="R70" s="118">
        <v>72.95</v>
      </c>
    </row>
    <row r="71" spans="1:18" ht="15" customHeight="1" x14ac:dyDescent="0.55000000000000004">
      <c r="A71" s="114" t="s">
        <v>221</v>
      </c>
      <c r="B71" s="115" t="s">
        <v>222</v>
      </c>
      <c r="C71" s="116" t="s">
        <v>215</v>
      </c>
      <c r="D71" s="114" t="s">
        <v>43</v>
      </c>
      <c r="E71" s="114" t="s">
        <v>44</v>
      </c>
      <c r="F71" s="114" t="s">
        <v>45</v>
      </c>
      <c r="G71" s="117">
        <v>42376</v>
      </c>
      <c r="H71" s="118">
        <v>207.62</v>
      </c>
      <c r="I71" s="118">
        <v>98.26</v>
      </c>
      <c r="J71" s="119">
        <v>0.4733</v>
      </c>
      <c r="K71" s="120">
        <v>18.23</v>
      </c>
      <c r="L71" s="119">
        <v>1.5900000000000001E-2</v>
      </c>
      <c r="M71" s="120">
        <v>1.3</v>
      </c>
      <c r="N71" s="120">
        <v>2.2400000000000002</v>
      </c>
      <c r="O71" s="118">
        <v>-56.4</v>
      </c>
      <c r="P71" s="119">
        <v>4.87E-2</v>
      </c>
      <c r="Q71" s="120">
        <v>7</v>
      </c>
      <c r="R71" s="118">
        <v>86.29</v>
      </c>
    </row>
    <row r="72" spans="1:18" ht="15" customHeight="1" x14ac:dyDescent="0.55000000000000004">
      <c r="A72" s="114" t="s">
        <v>726</v>
      </c>
      <c r="B72" s="115" t="s">
        <v>727</v>
      </c>
      <c r="C72" s="116" t="s">
        <v>43</v>
      </c>
      <c r="D72" s="114" t="s">
        <v>249</v>
      </c>
      <c r="E72" s="114" t="s">
        <v>80</v>
      </c>
      <c r="F72" s="114" t="s">
        <v>377</v>
      </c>
      <c r="G72" s="117">
        <v>42332</v>
      </c>
      <c r="H72" s="118">
        <v>0</v>
      </c>
      <c r="I72" s="118">
        <v>15.35</v>
      </c>
      <c r="J72" s="114" t="s">
        <v>48</v>
      </c>
      <c r="K72" s="114" t="s">
        <v>48</v>
      </c>
      <c r="L72" s="119">
        <v>2.0799999999999999E-2</v>
      </c>
      <c r="M72" s="120">
        <v>2.1</v>
      </c>
      <c r="N72" s="120">
        <v>2.85</v>
      </c>
      <c r="O72" s="118">
        <v>-15.44</v>
      </c>
      <c r="P72" s="119">
        <v>-1.3217000000000001</v>
      </c>
      <c r="Q72" s="120">
        <v>0</v>
      </c>
      <c r="R72" s="114" t="s">
        <v>48</v>
      </c>
    </row>
    <row r="73" spans="1:18" ht="15" customHeight="1" x14ac:dyDescent="0.55000000000000004">
      <c r="A73" s="114" t="s">
        <v>728</v>
      </c>
      <c r="B73" s="115" t="s">
        <v>729</v>
      </c>
      <c r="C73" s="116" t="s">
        <v>43</v>
      </c>
      <c r="D73" s="114" t="s">
        <v>249</v>
      </c>
      <c r="E73" s="114" t="s">
        <v>80</v>
      </c>
      <c r="F73" s="114" t="s">
        <v>377</v>
      </c>
      <c r="G73" s="117">
        <v>42001</v>
      </c>
      <c r="H73" s="118">
        <v>124.05</v>
      </c>
      <c r="I73" s="118">
        <v>178.53</v>
      </c>
      <c r="J73" s="119">
        <v>1.4392</v>
      </c>
      <c r="K73" s="120">
        <v>37.119999999999997</v>
      </c>
      <c r="L73" s="119">
        <v>3.0200000000000001E-2</v>
      </c>
      <c r="M73" s="120">
        <v>0.6</v>
      </c>
      <c r="N73" s="120">
        <v>1.01</v>
      </c>
      <c r="O73" s="118">
        <v>-47.76</v>
      </c>
      <c r="P73" s="119">
        <v>0.1431</v>
      </c>
      <c r="Q73" s="114"/>
      <c r="R73" s="114"/>
    </row>
    <row r="74" spans="1:18" ht="15" customHeight="1" x14ac:dyDescent="0.55000000000000004">
      <c r="A74" s="114" t="s">
        <v>647</v>
      </c>
      <c r="B74" s="115" t="s">
        <v>648</v>
      </c>
      <c r="C74" s="116" t="s">
        <v>634</v>
      </c>
      <c r="D74" s="114" t="s">
        <v>59</v>
      </c>
      <c r="E74" s="114" t="s">
        <v>44</v>
      </c>
      <c r="F74" s="114" t="s">
        <v>60</v>
      </c>
      <c r="G74" s="117">
        <v>42376</v>
      </c>
      <c r="H74" s="118">
        <v>193.91</v>
      </c>
      <c r="I74" s="118">
        <v>136.97</v>
      </c>
      <c r="J74" s="119">
        <v>0.70640000000000003</v>
      </c>
      <c r="K74" s="120">
        <v>27.18</v>
      </c>
      <c r="L74" s="119">
        <v>1.2800000000000001E-2</v>
      </c>
      <c r="M74" s="120">
        <v>0.9</v>
      </c>
      <c r="N74" s="120">
        <v>3.37</v>
      </c>
      <c r="O74" s="118">
        <v>-7.62</v>
      </c>
      <c r="P74" s="119">
        <v>9.3399999999999997E-2</v>
      </c>
      <c r="Q74" s="120">
        <v>6</v>
      </c>
      <c r="R74" s="118">
        <v>59.78</v>
      </c>
    </row>
    <row r="75" spans="1:18" ht="15" customHeight="1" x14ac:dyDescent="0.55000000000000004">
      <c r="A75" s="114" t="s">
        <v>846</v>
      </c>
      <c r="B75" s="115" t="s">
        <v>847</v>
      </c>
      <c r="C75" s="116" t="s">
        <v>829</v>
      </c>
      <c r="D75" s="114" t="s">
        <v>249</v>
      </c>
      <c r="E75" s="114" t="s">
        <v>80</v>
      </c>
      <c r="F75" s="114" t="s">
        <v>377</v>
      </c>
      <c r="G75" s="117">
        <v>42028</v>
      </c>
      <c r="H75" s="118">
        <v>0</v>
      </c>
      <c r="I75" s="118">
        <v>3.75</v>
      </c>
      <c r="J75" s="114" t="s">
        <v>48</v>
      </c>
      <c r="K75" s="120">
        <v>8.33</v>
      </c>
      <c r="L75" s="119">
        <v>6.4000000000000001E-2</v>
      </c>
      <c r="M75" s="120">
        <v>1.7</v>
      </c>
      <c r="N75" s="120">
        <v>1.43</v>
      </c>
      <c r="O75" s="118">
        <v>-4.82</v>
      </c>
      <c r="P75" s="119">
        <v>-8.0000000000000004E-4</v>
      </c>
      <c r="Q75" s="114"/>
      <c r="R75" s="114"/>
    </row>
    <row r="76" spans="1:18" ht="15" customHeight="1" x14ac:dyDescent="0.55000000000000004">
      <c r="A76" s="114" t="s">
        <v>490</v>
      </c>
      <c r="B76" s="115" t="s">
        <v>491</v>
      </c>
      <c r="C76" s="116" t="s">
        <v>479</v>
      </c>
      <c r="D76" s="114" t="s">
        <v>249</v>
      </c>
      <c r="E76" s="114" t="s">
        <v>44</v>
      </c>
      <c r="F76" s="114" t="s">
        <v>250</v>
      </c>
      <c r="G76" s="117">
        <v>42027</v>
      </c>
      <c r="H76" s="118">
        <v>94.61</v>
      </c>
      <c r="I76" s="118">
        <v>67.45</v>
      </c>
      <c r="J76" s="119">
        <v>0.71289999999999998</v>
      </c>
      <c r="K76" s="120">
        <v>27.42</v>
      </c>
      <c r="L76" s="119">
        <v>2.1899999999999999E-2</v>
      </c>
      <c r="M76" s="120">
        <v>1.1000000000000001</v>
      </c>
      <c r="N76" s="120">
        <v>1.27</v>
      </c>
      <c r="O76" s="118">
        <v>-11.73</v>
      </c>
      <c r="P76" s="119">
        <v>9.4600000000000004E-2</v>
      </c>
      <c r="Q76" s="114"/>
      <c r="R76" s="114"/>
    </row>
    <row r="77" spans="1:18" ht="15" customHeight="1" x14ac:dyDescent="0.55000000000000004">
      <c r="A77" s="114" t="s">
        <v>151</v>
      </c>
      <c r="B77" s="115" t="s">
        <v>152</v>
      </c>
      <c r="C77" s="116" t="s">
        <v>142</v>
      </c>
      <c r="D77" s="114" t="s">
        <v>59</v>
      </c>
      <c r="E77" s="114" t="s">
        <v>44</v>
      </c>
      <c r="F77" s="114" t="s">
        <v>60</v>
      </c>
      <c r="G77" s="117">
        <v>42306</v>
      </c>
      <c r="H77" s="118">
        <v>103.25</v>
      </c>
      <c r="I77" s="118">
        <v>57.1</v>
      </c>
      <c r="J77" s="119">
        <v>0.55300000000000005</v>
      </c>
      <c r="K77" s="120">
        <v>12.49</v>
      </c>
      <c r="L77" s="119">
        <v>2.0299999999999999E-2</v>
      </c>
      <c r="M77" s="120">
        <v>1.1000000000000001</v>
      </c>
      <c r="N77" s="114" t="s">
        <v>48</v>
      </c>
      <c r="O77" s="114" t="s">
        <v>48</v>
      </c>
      <c r="P77" s="119">
        <v>0.02</v>
      </c>
      <c r="Q77" s="120">
        <v>2</v>
      </c>
      <c r="R77" s="118">
        <v>43.17</v>
      </c>
    </row>
    <row r="78" spans="1:18" ht="15" customHeight="1" x14ac:dyDescent="0.55000000000000004">
      <c r="A78" s="114" t="s">
        <v>848</v>
      </c>
      <c r="B78" s="115" t="s">
        <v>849</v>
      </c>
      <c r="C78" s="116" t="s">
        <v>829</v>
      </c>
      <c r="D78" s="114" t="s">
        <v>249</v>
      </c>
      <c r="E78" s="114" t="s">
        <v>44</v>
      </c>
      <c r="F78" s="114" t="s">
        <v>250</v>
      </c>
      <c r="G78" s="117">
        <v>42008</v>
      </c>
      <c r="H78" s="118">
        <v>1153.92</v>
      </c>
      <c r="I78" s="118">
        <v>780.89</v>
      </c>
      <c r="J78" s="119">
        <v>0.67669999999999997</v>
      </c>
      <c r="K78" s="120">
        <v>26.06</v>
      </c>
      <c r="L78" s="114" t="s">
        <v>48</v>
      </c>
      <c r="M78" s="120">
        <v>0.4</v>
      </c>
      <c r="N78" s="120">
        <v>0.73</v>
      </c>
      <c r="O78" s="118">
        <v>-172.93</v>
      </c>
      <c r="P78" s="119">
        <v>8.7800000000000003E-2</v>
      </c>
      <c r="Q78" s="114"/>
      <c r="R78" s="114"/>
    </row>
    <row r="79" spans="1:18" ht="15" customHeight="1" x14ac:dyDescent="0.55000000000000004">
      <c r="A79" s="114" t="s">
        <v>223</v>
      </c>
      <c r="B79" s="115" t="s">
        <v>224</v>
      </c>
      <c r="C79" s="116" t="s">
        <v>215</v>
      </c>
      <c r="D79" s="114" t="s">
        <v>59</v>
      </c>
      <c r="E79" s="114" t="s">
        <v>44</v>
      </c>
      <c r="F79" s="114" t="s">
        <v>60</v>
      </c>
      <c r="G79" s="117">
        <v>42332</v>
      </c>
      <c r="H79" s="118">
        <v>188.84</v>
      </c>
      <c r="I79" s="118">
        <v>119.58</v>
      </c>
      <c r="J79" s="119">
        <v>0.63319999999999999</v>
      </c>
      <c r="K79" s="120">
        <v>17.48</v>
      </c>
      <c r="L79" s="119">
        <v>3.6499999999999998E-2</v>
      </c>
      <c r="M79" s="120">
        <v>1.1000000000000001</v>
      </c>
      <c r="N79" s="120">
        <v>1.17</v>
      </c>
      <c r="O79" s="118">
        <v>-35.89</v>
      </c>
      <c r="P79" s="119">
        <v>4.4900000000000002E-2</v>
      </c>
      <c r="Q79" s="120">
        <v>4</v>
      </c>
      <c r="R79" s="118">
        <v>42.32</v>
      </c>
    </row>
    <row r="80" spans="1:18" ht="15" customHeight="1" x14ac:dyDescent="0.55000000000000004">
      <c r="A80" s="114" t="s">
        <v>1047</v>
      </c>
      <c r="B80" s="115" t="s">
        <v>1048</v>
      </c>
      <c r="C80" s="116" t="s">
        <v>98</v>
      </c>
      <c r="D80" s="114" t="s">
        <v>249</v>
      </c>
      <c r="E80" s="114" t="s">
        <v>80</v>
      </c>
      <c r="F80" s="114" t="s">
        <v>377</v>
      </c>
      <c r="G80" s="117">
        <v>42028</v>
      </c>
      <c r="H80" s="118">
        <v>0</v>
      </c>
      <c r="I80" s="118">
        <v>13.4</v>
      </c>
      <c r="J80" s="114" t="s">
        <v>48</v>
      </c>
      <c r="K80" s="120">
        <v>34.36</v>
      </c>
      <c r="L80" s="119">
        <v>1.49E-2</v>
      </c>
      <c r="M80" s="120">
        <v>1.8</v>
      </c>
      <c r="N80" s="114" t="s">
        <v>48</v>
      </c>
      <c r="O80" s="114" t="s">
        <v>48</v>
      </c>
      <c r="P80" s="119">
        <v>0.1293</v>
      </c>
      <c r="Q80" s="114"/>
      <c r="R80" s="114"/>
    </row>
    <row r="81" spans="1:18" ht="15" customHeight="1" x14ac:dyDescent="0.55000000000000004">
      <c r="A81" s="114" t="s">
        <v>363</v>
      </c>
      <c r="B81" s="115" t="s">
        <v>364</v>
      </c>
      <c r="C81" s="116" t="s">
        <v>304</v>
      </c>
      <c r="D81" s="114" t="s">
        <v>59</v>
      </c>
      <c r="E81" s="114" t="s">
        <v>80</v>
      </c>
      <c r="F81" s="114" t="s">
        <v>81</v>
      </c>
      <c r="G81" s="117">
        <v>42409</v>
      </c>
      <c r="H81" s="118">
        <v>30.34</v>
      </c>
      <c r="I81" s="118">
        <v>39.71</v>
      </c>
      <c r="J81" s="119">
        <v>1.3088</v>
      </c>
      <c r="K81" s="120">
        <v>12</v>
      </c>
      <c r="L81" s="119">
        <v>1.1599999999999999E-2</v>
      </c>
      <c r="M81" s="120">
        <v>0.6</v>
      </c>
      <c r="N81" s="120">
        <v>1.86</v>
      </c>
      <c r="O81" s="118">
        <v>-2.2000000000000002</v>
      </c>
      <c r="P81" s="119">
        <v>1.7500000000000002E-2</v>
      </c>
      <c r="Q81" s="120">
        <v>0</v>
      </c>
      <c r="R81" s="118">
        <v>23.06</v>
      </c>
    </row>
    <row r="82" spans="1:18" ht="15" customHeight="1" x14ac:dyDescent="0.55000000000000004">
      <c r="A82" s="114" t="s">
        <v>225</v>
      </c>
      <c r="B82" s="115" t="s">
        <v>226</v>
      </c>
      <c r="C82" s="116" t="s">
        <v>215</v>
      </c>
      <c r="D82" s="114" t="s">
        <v>59</v>
      </c>
      <c r="E82" s="114" t="s">
        <v>44</v>
      </c>
      <c r="F82" s="114" t="s">
        <v>60</v>
      </c>
      <c r="G82" s="117">
        <v>42332</v>
      </c>
      <c r="H82" s="118">
        <v>134.12</v>
      </c>
      <c r="I82" s="118">
        <v>49.12</v>
      </c>
      <c r="J82" s="119">
        <v>0.36620000000000003</v>
      </c>
      <c r="K82" s="120">
        <v>10.07</v>
      </c>
      <c r="L82" s="114" t="s">
        <v>48</v>
      </c>
      <c r="M82" s="120">
        <v>0.7</v>
      </c>
      <c r="N82" s="120">
        <v>2</v>
      </c>
      <c r="O82" s="118">
        <v>-0.51</v>
      </c>
      <c r="P82" s="119">
        <v>7.7999999999999996E-3</v>
      </c>
      <c r="Q82" s="120">
        <v>0</v>
      </c>
      <c r="R82" s="118">
        <v>41.94</v>
      </c>
    </row>
    <row r="83" spans="1:18" ht="15" customHeight="1" x14ac:dyDescent="0.55000000000000004">
      <c r="A83" s="114" t="s">
        <v>88</v>
      </c>
      <c r="B83" s="115" t="s">
        <v>89</v>
      </c>
      <c r="C83" s="116" t="s">
        <v>79</v>
      </c>
      <c r="D83" s="114" t="s">
        <v>59</v>
      </c>
      <c r="E83" s="114" t="s">
        <v>44</v>
      </c>
      <c r="F83" s="114" t="s">
        <v>60</v>
      </c>
      <c r="G83" s="117">
        <v>42324</v>
      </c>
      <c r="H83" s="118">
        <v>55.92</v>
      </c>
      <c r="I83" s="118">
        <v>33.81</v>
      </c>
      <c r="J83" s="119">
        <v>0.60460000000000003</v>
      </c>
      <c r="K83" s="120">
        <v>13.47</v>
      </c>
      <c r="L83" s="119">
        <v>3.1899999999999998E-2</v>
      </c>
      <c r="M83" s="120">
        <v>1.1000000000000001</v>
      </c>
      <c r="N83" s="114" t="s">
        <v>48</v>
      </c>
      <c r="O83" s="114" t="s">
        <v>48</v>
      </c>
      <c r="P83" s="119">
        <v>2.4899999999999999E-2</v>
      </c>
      <c r="Q83" s="120">
        <v>5</v>
      </c>
      <c r="R83" s="118">
        <v>42.72</v>
      </c>
    </row>
    <row r="84" spans="1:18" ht="15" customHeight="1" x14ac:dyDescent="0.55000000000000004">
      <c r="A84" s="114" t="s">
        <v>850</v>
      </c>
      <c r="B84" s="115" t="s">
        <v>851</v>
      </c>
      <c r="C84" s="116" t="s">
        <v>829</v>
      </c>
      <c r="D84" s="114" t="s">
        <v>249</v>
      </c>
      <c r="E84" s="114" t="s">
        <v>80</v>
      </c>
      <c r="F84" s="114" t="s">
        <v>377</v>
      </c>
      <c r="G84" s="117">
        <v>42151</v>
      </c>
      <c r="H84" s="118">
        <v>0</v>
      </c>
      <c r="I84" s="118">
        <v>33.1</v>
      </c>
      <c r="J84" s="114" t="s">
        <v>48</v>
      </c>
      <c r="K84" s="120">
        <v>29.29</v>
      </c>
      <c r="L84" s="119">
        <v>3.3799999999999997E-2</v>
      </c>
      <c r="M84" s="120">
        <v>1.6</v>
      </c>
      <c r="N84" s="120">
        <v>1.51</v>
      </c>
      <c r="O84" s="118">
        <v>4.1100000000000003</v>
      </c>
      <c r="P84" s="119">
        <v>0.104</v>
      </c>
      <c r="Q84" s="114"/>
      <c r="R84" s="114"/>
    </row>
    <row r="85" spans="1:18" ht="15" customHeight="1" x14ac:dyDescent="0.55000000000000004">
      <c r="A85" s="114" t="s">
        <v>649</v>
      </c>
      <c r="B85" s="115" t="s">
        <v>650</v>
      </c>
      <c r="C85" s="116" t="s">
        <v>634</v>
      </c>
      <c r="D85" s="114" t="s">
        <v>59</v>
      </c>
      <c r="E85" s="114" t="s">
        <v>80</v>
      </c>
      <c r="F85" s="114" t="s">
        <v>81</v>
      </c>
      <c r="G85" s="117">
        <v>42417</v>
      </c>
      <c r="H85" s="118">
        <v>89.87</v>
      </c>
      <c r="I85" s="118">
        <v>193.02</v>
      </c>
      <c r="J85" s="119">
        <v>2.1478000000000002</v>
      </c>
      <c r="K85" s="120">
        <v>31.96</v>
      </c>
      <c r="L85" s="119">
        <v>5.0000000000000001E-3</v>
      </c>
      <c r="M85" s="120">
        <v>0.7</v>
      </c>
      <c r="N85" s="120">
        <v>1.66</v>
      </c>
      <c r="O85" s="118">
        <v>-18.489999999999998</v>
      </c>
      <c r="P85" s="119">
        <v>0.1173</v>
      </c>
      <c r="Q85" s="120">
        <v>20</v>
      </c>
      <c r="R85" s="118">
        <v>66.14</v>
      </c>
    </row>
    <row r="86" spans="1:18" ht="15" customHeight="1" x14ac:dyDescent="0.55000000000000004">
      <c r="A86" s="114" t="s">
        <v>852</v>
      </c>
      <c r="B86" s="115" t="s">
        <v>853</v>
      </c>
      <c r="C86" s="116" t="s">
        <v>829</v>
      </c>
      <c r="D86" s="114" t="s">
        <v>249</v>
      </c>
      <c r="E86" s="114" t="s">
        <v>80</v>
      </c>
      <c r="F86" s="114" t="s">
        <v>377</v>
      </c>
      <c r="G86" s="117">
        <v>42235</v>
      </c>
      <c r="H86" s="118">
        <v>57.33</v>
      </c>
      <c r="I86" s="118">
        <v>150.72</v>
      </c>
      <c r="J86" s="119">
        <v>2.629</v>
      </c>
      <c r="K86" s="120">
        <v>27.4</v>
      </c>
      <c r="L86" s="119">
        <v>1.7500000000000002E-2</v>
      </c>
      <c r="M86" s="120">
        <v>1</v>
      </c>
      <c r="N86" s="120">
        <v>1.4</v>
      </c>
      <c r="O86" s="118">
        <v>-62.92</v>
      </c>
      <c r="P86" s="119">
        <v>9.4500000000000001E-2</v>
      </c>
      <c r="Q86" s="120">
        <v>20</v>
      </c>
      <c r="R86" s="114"/>
    </row>
    <row r="87" spans="1:18" ht="15" customHeight="1" x14ac:dyDescent="0.55000000000000004">
      <c r="A87" s="114" t="s">
        <v>90</v>
      </c>
      <c r="B87" s="115" t="s">
        <v>91</v>
      </c>
      <c r="C87" s="116" t="s">
        <v>79</v>
      </c>
      <c r="D87" s="114" t="s">
        <v>43</v>
      </c>
      <c r="E87" s="114" t="s">
        <v>44</v>
      </c>
      <c r="F87" s="114" t="s">
        <v>45</v>
      </c>
      <c r="G87" s="117">
        <v>42397</v>
      </c>
      <c r="H87" s="118">
        <v>52.58</v>
      </c>
      <c r="I87" s="118">
        <v>37.35</v>
      </c>
      <c r="J87" s="119">
        <v>0.71030000000000004</v>
      </c>
      <c r="K87" s="120">
        <v>11.78</v>
      </c>
      <c r="L87" s="119">
        <v>1.9300000000000001E-2</v>
      </c>
      <c r="M87" s="120">
        <v>1.6</v>
      </c>
      <c r="N87" s="120">
        <v>16.68</v>
      </c>
      <c r="O87" s="118">
        <v>13.41</v>
      </c>
      <c r="P87" s="119">
        <v>1.6400000000000001E-2</v>
      </c>
      <c r="Q87" s="120">
        <v>20</v>
      </c>
      <c r="R87" s="118">
        <v>34.33</v>
      </c>
    </row>
    <row r="88" spans="1:18" ht="15" customHeight="1" x14ac:dyDescent="0.55000000000000004">
      <c r="A88" s="114" t="s">
        <v>854</v>
      </c>
      <c r="B88" s="115" t="s">
        <v>855</v>
      </c>
      <c r="C88" s="116" t="s">
        <v>829</v>
      </c>
      <c r="D88" s="114" t="s">
        <v>249</v>
      </c>
      <c r="E88" s="114" t="s">
        <v>80</v>
      </c>
      <c r="F88" s="114" t="s">
        <v>377</v>
      </c>
      <c r="G88" s="117">
        <v>42272</v>
      </c>
      <c r="H88" s="118">
        <v>9.67</v>
      </c>
      <c r="I88" s="118">
        <v>96.19</v>
      </c>
      <c r="J88" s="119">
        <v>9.9473000000000003</v>
      </c>
      <c r="K88" s="120">
        <v>48.34</v>
      </c>
      <c r="L88" s="119">
        <v>1.46E-2</v>
      </c>
      <c r="M88" s="120">
        <v>0.8</v>
      </c>
      <c r="N88" s="120">
        <v>2.85</v>
      </c>
      <c r="O88" s="118">
        <v>-1.23</v>
      </c>
      <c r="P88" s="119">
        <v>0.19919999999999999</v>
      </c>
      <c r="Q88" s="120">
        <v>20</v>
      </c>
      <c r="R88" s="118">
        <v>0</v>
      </c>
    </row>
    <row r="89" spans="1:18" ht="15" customHeight="1" x14ac:dyDescent="0.55000000000000004">
      <c r="A89" s="114" t="s">
        <v>365</v>
      </c>
      <c r="B89" s="115" t="s">
        <v>366</v>
      </c>
      <c r="C89" s="116" t="s">
        <v>304</v>
      </c>
      <c r="D89" s="114" t="s">
        <v>59</v>
      </c>
      <c r="E89" s="114" t="s">
        <v>80</v>
      </c>
      <c r="F89" s="114" t="s">
        <v>81</v>
      </c>
      <c r="G89" s="117">
        <v>42271</v>
      </c>
      <c r="H89" s="118">
        <v>29.22</v>
      </c>
      <c r="I89" s="118">
        <v>34.96</v>
      </c>
      <c r="J89" s="119">
        <v>1.1963999999999999</v>
      </c>
      <c r="K89" s="120">
        <v>31.78</v>
      </c>
      <c r="L89" s="119">
        <v>4.8099999999999997E-2</v>
      </c>
      <c r="M89" s="120">
        <v>0.4</v>
      </c>
      <c r="N89" s="120">
        <v>3.26</v>
      </c>
      <c r="O89" s="118">
        <v>-17.28</v>
      </c>
      <c r="P89" s="119">
        <v>0.1164</v>
      </c>
      <c r="Q89" s="120">
        <v>5</v>
      </c>
      <c r="R89" s="118">
        <v>15.97</v>
      </c>
    </row>
    <row r="90" spans="1:18" ht="15" customHeight="1" x14ac:dyDescent="0.55000000000000004">
      <c r="A90" s="114" t="s">
        <v>1049</v>
      </c>
      <c r="B90" s="115" t="s">
        <v>1050</v>
      </c>
      <c r="C90" s="116" t="s">
        <v>98</v>
      </c>
      <c r="D90" s="114" t="s">
        <v>249</v>
      </c>
      <c r="E90" s="114" t="s">
        <v>80</v>
      </c>
      <c r="F90" s="114" t="s">
        <v>377</v>
      </c>
      <c r="G90" s="117">
        <v>42150</v>
      </c>
      <c r="H90" s="118">
        <v>0</v>
      </c>
      <c r="I90" s="118">
        <v>45.41</v>
      </c>
      <c r="J90" s="114" t="s">
        <v>48</v>
      </c>
      <c r="K90" s="120">
        <v>22.15</v>
      </c>
      <c r="L90" s="119">
        <v>1.4999999999999999E-2</v>
      </c>
      <c r="M90" s="120">
        <v>1.4</v>
      </c>
      <c r="N90" s="120">
        <v>2.87</v>
      </c>
      <c r="O90" s="118">
        <v>3.64</v>
      </c>
      <c r="P90" s="119">
        <v>6.83E-2</v>
      </c>
      <c r="Q90" s="114"/>
      <c r="R90" s="114"/>
    </row>
    <row r="91" spans="1:18" ht="15" customHeight="1" x14ac:dyDescent="0.55000000000000004">
      <c r="A91" s="114" t="s">
        <v>492</v>
      </c>
      <c r="B91" s="115" t="s">
        <v>493</v>
      </c>
      <c r="C91" s="116" t="s">
        <v>479</v>
      </c>
      <c r="D91" s="114" t="s">
        <v>249</v>
      </c>
      <c r="E91" s="114" t="s">
        <v>44</v>
      </c>
      <c r="F91" s="114" t="s">
        <v>250</v>
      </c>
      <c r="G91" s="117">
        <v>42402</v>
      </c>
      <c r="H91" s="118">
        <v>522.89</v>
      </c>
      <c r="I91" s="118">
        <v>273.66000000000003</v>
      </c>
      <c r="J91" s="119">
        <v>0.52339999999999998</v>
      </c>
      <c r="K91" s="120">
        <v>20.149999999999999</v>
      </c>
      <c r="L91" s="114" t="s">
        <v>48</v>
      </c>
      <c r="M91" s="120">
        <v>1</v>
      </c>
      <c r="N91" s="120">
        <v>2.6</v>
      </c>
      <c r="O91" s="118">
        <v>-15.39</v>
      </c>
      <c r="P91" s="119">
        <v>5.8299999999999998E-2</v>
      </c>
      <c r="Q91" s="120">
        <v>0</v>
      </c>
      <c r="R91" s="118">
        <v>126.09</v>
      </c>
    </row>
    <row r="92" spans="1:18" ht="15" customHeight="1" x14ac:dyDescent="0.55000000000000004">
      <c r="A92" s="114" t="s">
        <v>300</v>
      </c>
      <c r="B92" s="115" t="s">
        <v>301</v>
      </c>
      <c r="C92" s="116" t="s">
        <v>297</v>
      </c>
      <c r="D92" s="114" t="s">
        <v>59</v>
      </c>
      <c r="E92" s="114" t="s">
        <v>44</v>
      </c>
      <c r="F92" s="114" t="s">
        <v>60</v>
      </c>
      <c r="G92" s="117">
        <v>42377</v>
      </c>
      <c r="H92" s="118">
        <v>62.8</v>
      </c>
      <c r="I92" s="118">
        <v>37.42</v>
      </c>
      <c r="J92" s="119">
        <v>0.59589999999999999</v>
      </c>
      <c r="K92" s="120">
        <v>17.170000000000002</v>
      </c>
      <c r="L92" s="119">
        <v>1.8200000000000001E-2</v>
      </c>
      <c r="M92" s="120">
        <v>1.5</v>
      </c>
      <c r="N92" s="114" t="s">
        <v>48</v>
      </c>
      <c r="O92" s="114" t="s">
        <v>48</v>
      </c>
      <c r="P92" s="119">
        <v>4.3299999999999998E-2</v>
      </c>
      <c r="Q92" s="120">
        <v>5</v>
      </c>
      <c r="R92" s="118">
        <v>44.58</v>
      </c>
    </row>
    <row r="93" spans="1:18" ht="15" customHeight="1" x14ac:dyDescent="0.55000000000000004">
      <c r="A93" s="114" t="s">
        <v>302</v>
      </c>
      <c r="B93" s="115" t="s">
        <v>303</v>
      </c>
      <c r="C93" s="116" t="s">
        <v>297</v>
      </c>
      <c r="D93" s="114" t="s">
        <v>43</v>
      </c>
      <c r="E93" s="114" t="s">
        <v>44</v>
      </c>
      <c r="F93" s="114" t="s">
        <v>45</v>
      </c>
      <c r="G93" s="117">
        <v>42319</v>
      </c>
      <c r="H93" s="118">
        <v>604.55999999999995</v>
      </c>
      <c r="I93" s="118">
        <v>326.73</v>
      </c>
      <c r="J93" s="119">
        <v>0.54039999999999999</v>
      </c>
      <c r="K93" s="120">
        <v>18.600000000000001</v>
      </c>
      <c r="L93" s="119">
        <v>2.8000000000000001E-2</v>
      </c>
      <c r="M93" s="120">
        <v>1.4</v>
      </c>
      <c r="N93" s="120">
        <v>2.86</v>
      </c>
      <c r="O93" s="118">
        <v>-1101.53</v>
      </c>
      <c r="P93" s="119">
        <v>5.0500000000000003E-2</v>
      </c>
      <c r="Q93" s="120">
        <v>6</v>
      </c>
      <c r="R93" s="118">
        <v>270.85000000000002</v>
      </c>
    </row>
    <row r="94" spans="1:18" ht="15" customHeight="1" x14ac:dyDescent="0.55000000000000004">
      <c r="A94" s="114" t="s">
        <v>856</v>
      </c>
      <c r="B94" s="115" t="s">
        <v>857</v>
      </c>
      <c r="C94" s="116" t="s">
        <v>829</v>
      </c>
      <c r="D94" s="114" t="s">
        <v>249</v>
      </c>
      <c r="E94" s="114" t="s">
        <v>98</v>
      </c>
      <c r="F94" s="114" t="s">
        <v>412</v>
      </c>
      <c r="G94" s="117">
        <v>42223</v>
      </c>
      <c r="H94" s="118">
        <v>84.75</v>
      </c>
      <c r="I94" s="118">
        <v>68.069999999999993</v>
      </c>
      <c r="J94" s="119">
        <v>0.80320000000000003</v>
      </c>
      <c r="K94" s="120">
        <v>23.72</v>
      </c>
      <c r="L94" s="119">
        <v>7.6E-3</v>
      </c>
      <c r="M94" s="120">
        <v>1.1000000000000001</v>
      </c>
      <c r="N94" s="120">
        <v>1.1399999999999999</v>
      </c>
      <c r="O94" s="118">
        <v>-29.75</v>
      </c>
      <c r="P94" s="119">
        <v>7.6100000000000001E-2</v>
      </c>
      <c r="Q94" s="114"/>
      <c r="R94" s="114"/>
    </row>
    <row r="95" spans="1:18" ht="15" customHeight="1" x14ac:dyDescent="0.55000000000000004">
      <c r="A95" s="114" t="s">
        <v>153</v>
      </c>
      <c r="B95" s="115" t="s">
        <v>154</v>
      </c>
      <c r="C95" s="116" t="s">
        <v>142</v>
      </c>
      <c r="D95" s="114" t="s">
        <v>59</v>
      </c>
      <c r="E95" s="114" t="s">
        <v>80</v>
      </c>
      <c r="F95" s="114" t="s">
        <v>81</v>
      </c>
      <c r="G95" s="117">
        <v>42397</v>
      </c>
      <c r="H95" s="118">
        <v>31.74</v>
      </c>
      <c r="I95" s="118">
        <v>49.99</v>
      </c>
      <c r="J95" s="119">
        <v>1.575</v>
      </c>
      <c r="K95" s="120">
        <v>24.27</v>
      </c>
      <c r="L95" s="119">
        <v>2.3199999999999998E-2</v>
      </c>
      <c r="M95" s="120">
        <v>0.6</v>
      </c>
      <c r="N95" s="120">
        <v>2.16</v>
      </c>
      <c r="O95" s="118">
        <v>-10.08</v>
      </c>
      <c r="P95" s="119">
        <v>7.8799999999999995E-2</v>
      </c>
      <c r="Q95" s="120">
        <v>20</v>
      </c>
      <c r="R95" s="118">
        <v>26.66</v>
      </c>
    </row>
    <row r="96" spans="1:18" ht="15" customHeight="1" x14ac:dyDescent="0.55000000000000004">
      <c r="A96" s="114" t="s">
        <v>730</v>
      </c>
      <c r="B96" s="115" t="s">
        <v>731</v>
      </c>
      <c r="C96" s="116" t="s">
        <v>43</v>
      </c>
      <c r="D96" s="114" t="s">
        <v>249</v>
      </c>
      <c r="E96" s="114" t="s">
        <v>80</v>
      </c>
      <c r="F96" s="114" t="s">
        <v>377</v>
      </c>
      <c r="G96" s="117">
        <v>42418</v>
      </c>
      <c r="H96" s="118">
        <v>0</v>
      </c>
      <c r="I96" s="118">
        <v>64.900000000000006</v>
      </c>
      <c r="J96" s="114" t="s">
        <v>48</v>
      </c>
      <c r="K96" s="120">
        <v>44.15</v>
      </c>
      <c r="L96" s="119">
        <v>2.3400000000000001E-2</v>
      </c>
      <c r="M96" s="120">
        <v>0.6</v>
      </c>
      <c r="N96" s="120">
        <v>1.3</v>
      </c>
      <c r="O96" s="118">
        <v>-4.21</v>
      </c>
      <c r="P96" s="119">
        <v>0.1782</v>
      </c>
      <c r="Q96" s="120">
        <v>10</v>
      </c>
      <c r="R96" s="118">
        <v>20.149999999999999</v>
      </c>
    </row>
    <row r="97" spans="1:18" ht="15" customHeight="1" x14ac:dyDescent="0.55000000000000004">
      <c r="A97" s="114" t="s">
        <v>858</v>
      </c>
      <c r="B97" s="115" t="s">
        <v>859</v>
      </c>
      <c r="C97" s="116" t="s">
        <v>829</v>
      </c>
      <c r="D97" s="114" t="s">
        <v>249</v>
      </c>
      <c r="E97" s="114" t="s">
        <v>44</v>
      </c>
      <c r="F97" s="114" t="s">
        <v>250</v>
      </c>
      <c r="G97" s="117">
        <v>42235</v>
      </c>
      <c r="H97" s="118">
        <v>221.44</v>
      </c>
      <c r="I97" s="118">
        <v>136.75</v>
      </c>
      <c r="J97" s="119">
        <v>0.61750000000000005</v>
      </c>
      <c r="K97" s="120">
        <v>18.940000000000001</v>
      </c>
      <c r="L97" s="114" t="s">
        <v>48</v>
      </c>
      <c r="M97" s="120">
        <v>0.8</v>
      </c>
      <c r="N97" s="114" t="s">
        <v>48</v>
      </c>
      <c r="O97" s="114" t="s">
        <v>48</v>
      </c>
      <c r="P97" s="119">
        <v>5.2200000000000003E-2</v>
      </c>
      <c r="Q97" s="120">
        <v>0</v>
      </c>
      <c r="R97" s="114"/>
    </row>
    <row r="98" spans="1:18" ht="15" customHeight="1" x14ac:dyDescent="0.55000000000000004">
      <c r="A98" s="114" t="s">
        <v>1051</v>
      </c>
      <c r="B98" s="115" t="s">
        <v>1052</v>
      </c>
      <c r="C98" s="116" t="s">
        <v>98</v>
      </c>
      <c r="D98" s="114" t="s">
        <v>249</v>
      </c>
      <c r="E98" s="114" t="s">
        <v>80</v>
      </c>
      <c r="F98" s="114" t="s">
        <v>377</v>
      </c>
      <c r="G98" s="117">
        <v>42257</v>
      </c>
      <c r="H98" s="118">
        <v>0</v>
      </c>
      <c r="I98" s="118">
        <v>17.36</v>
      </c>
      <c r="J98" s="114" t="s">
        <v>48</v>
      </c>
      <c r="K98" s="114" t="s">
        <v>48</v>
      </c>
      <c r="L98" s="114" t="s">
        <v>48</v>
      </c>
      <c r="M98" s="120">
        <v>1</v>
      </c>
      <c r="N98" s="120">
        <v>1.95</v>
      </c>
      <c r="O98" s="118">
        <v>-4.97</v>
      </c>
      <c r="P98" s="119">
        <v>-0.4199</v>
      </c>
      <c r="Q98" s="120">
        <v>0</v>
      </c>
      <c r="R98" s="118">
        <v>7.64</v>
      </c>
    </row>
    <row r="99" spans="1:18" ht="15" customHeight="1" x14ac:dyDescent="0.55000000000000004">
      <c r="A99" s="114" t="s">
        <v>1053</v>
      </c>
      <c r="B99" s="115" t="s">
        <v>1054</v>
      </c>
      <c r="C99" s="116" t="s">
        <v>98</v>
      </c>
      <c r="D99" s="114" t="s">
        <v>249</v>
      </c>
      <c r="E99" s="114" t="s">
        <v>80</v>
      </c>
      <c r="F99" s="114" t="s">
        <v>377</v>
      </c>
      <c r="G99" s="117">
        <v>42272</v>
      </c>
      <c r="H99" s="118">
        <v>0</v>
      </c>
      <c r="I99" s="118">
        <v>2.4300000000000002</v>
      </c>
      <c r="J99" s="114" t="s">
        <v>48</v>
      </c>
      <c r="K99" s="114" t="s">
        <v>48</v>
      </c>
      <c r="L99" s="114" t="s">
        <v>48</v>
      </c>
      <c r="M99" s="120">
        <v>1</v>
      </c>
      <c r="N99" s="120">
        <v>1.1100000000000001</v>
      </c>
      <c r="O99" s="118">
        <v>-31.27</v>
      </c>
      <c r="P99" s="119">
        <v>-4.6199999999999998E-2</v>
      </c>
      <c r="Q99" s="120">
        <v>0</v>
      </c>
      <c r="R99" s="114" t="s">
        <v>48</v>
      </c>
    </row>
    <row r="100" spans="1:18" ht="15" customHeight="1" x14ac:dyDescent="0.55000000000000004">
      <c r="A100" s="114" t="s">
        <v>227</v>
      </c>
      <c r="B100" s="115" t="s">
        <v>228</v>
      </c>
      <c r="C100" s="116" t="s">
        <v>215</v>
      </c>
      <c r="D100" s="114" t="s">
        <v>59</v>
      </c>
      <c r="E100" s="114" t="s">
        <v>44</v>
      </c>
      <c r="F100" s="114" t="s">
        <v>60</v>
      </c>
      <c r="G100" s="117">
        <v>42403</v>
      </c>
      <c r="H100" s="118">
        <v>102.78</v>
      </c>
      <c r="I100" s="118">
        <v>34.729999999999997</v>
      </c>
      <c r="J100" s="119">
        <v>0.33789999999999998</v>
      </c>
      <c r="K100" s="120">
        <v>13.01</v>
      </c>
      <c r="L100" s="119">
        <v>1.4999999999999999E-2</v>
      </c>
      <c r="M100" s="120">
        <v>1.7</v>
      </c>
      <c r="N100" s="120">
        <v>2.14</v>
      </c>
      <c r="O100" s="118">
        <v>-2.96</v>
      </c>
      <c r="P100" s="119">
        <v>2.2499999999999999E-2</v>
      </c>
      <c r="Q100" s="120">
        <v>3</v>
      </c>
      <c r="R100" s="118">
        <v>32.43</v>
      </c>
    </row>
    <row r="101" spans="1:18" ht="15" customHeight="1" x14ac:dyDescent="0.55000000000000004">
      <c r="A101" s="114" t="s">
        <v>651</v>
      </c>
      <c r="B101" s="115" t="s">
        <v>652</v>
      </c>
      <c r="C101" s="116" t="s">
        <v>634</v>
      </c>
      <c r="D101" s="114" t="s">
        <v>59</v>
      </c>
      <c r="E101" s="114" t="s">
        <v>80</v>
      </c>
      <c r="F101" s="114" t="s">
        <v>81</v>
      </c>
      <c r="G101" s="117">
        <v>42321</v>
      </c>
      <c r="H101" s="118">
        <v>98.25</v>
      </c>
      <c r="I101" s="118">
        <v>118.03</v>
      </c>
      <c r="J101" s="119">
        <v>1.2013</v>
      </c>
      <c r="K101" s="120">
        <v>33.72</v>
      </c>
      <c r="L101" s="119">
        <v>2.1999999999999999E-2</v>
      </c>
      <c r="M101" s="120">
        <v>0.7</v>
      </c>
      <c r="N101" s="120">
        <v>4.12</v>
      </c>
      <c r="O101" s="118">
        <v>-70.41</v>
      </c>
      <c r="P101" s="119">
        <v>0.12609999999999999</v>
      </c>
      <c r="Q101" s="120">
        <v>0</v>
      </c>
      <c r="R101" s="118">
        <v>58.9</v>
      </c>
    </row>
    <row r="102" spans="1:18" ht="15" customHeight="1" x14ac:dyDescent="0.55000000000000004">
      <c r="A102" s="114" t="s">
        <v>304</v>
      </c>
      <c r="B102" s="115" t="s">
        <v>305</v>
      </c>
      <c r="C102" s="116" t="s">
        <v>297</v>
      </c>
      <c r="D102" s="114" t="s">
        <v>59</v>
      </c>
      <c r="E102" s="114" t="s">
        <v>44</v>
      </c>
      <c r="F102" s="114" t="s">
        <v>60</v>
      </c>
      <c r="G102" s="117">
        <v>42348</v>
      </c>
      <c r="H102" s="118">
        <v>146.58000000000001</v>
      </c>
      <c r="I102" s="118">
        <v>42.22</v>
      </c>
      <c r="J102" s="119">
        <v>0.28799999999999998</v>
      </c>
      <c r="K102" s="120">
        <v>11.08</v>
      </c>
      <c r="L102" s="119">
        <v>4.7000000000000002E-3</v>
      </c>
      <c r="M102" s="120">
        <v>2</v>
      </c>
      <c r="N102" s="114" t="s">
        <v>48</v>
      </c>
      <c r="O102" s="114" t="s">
        <v>48</v>
      </c>
      <c r="P102" s="119">
        <v>1.29E-2</v>
      </c>
      <c r="Q102" s="120">
        <v>1</v>
      </c>
      <c r="R102" s="118">
        <v>91.16</v>
      </c>
    </row>
    <row r="103" spans="1:18" ht="15" customHeight="1" x14ac:dyDescent="0.55000000000000004">
      <c r="A103" s="114" t="s">
        <v>155</v>
      </c>
      <c r="B103" s="115" t="s">
        <v>156</v>
      </c>
      <c r="C103" s="116" t="s">
        <v>142</v>
      </c>
      <c r="D103" s="114" t="s">
        <v>43</v>
      </c>
      <c r="E103" s="114" t="s">
        <v>98</v>
      </c>
      <c r="F103" s="114" t="s">
        <v>132</v>
      </c>
      <c r="G103" s="117">
        <v>42398</v>
      </c>
      <c r="H103" s="118">
        <v>30.31</v>
      </c>
      <c r="I103" s="118">
        <v>29.61</v>
      </c>
      <c r="J103" s="119">
        <v>0.97689999999999999</v>
      </c>
      <c r="K103" s="120">
        <v>15.03</v>
      </c>
      <c r="L103" s="119">
        <v>3.3799999999999997E-2</v>
      </c>
      <c r="M103" s="120">
        <v>1.1000000000000001</v>
      </c>
      <c r="N103" s="120">
        <v>1.28</v>
      </c>
      <c r="O103" s="118">
        <v>-5.17</v>
      </c>
      <c r="P103" s="119">
        <v>3.27E-2</v>
      </c>
      <c r="Q103" s="120">
        <v>0</v>
      </c>
      <c r="R103" s="118">
        <v>23.64</v>
      </c>
    </row>
    <row r="104" spans="1:18" ht="15" customHeight="1" x14ac:dyDescent="0.55000000000000004">
      <c r="A104" s="114" t="s">
        <v>732</v>
      </c>
      <c r="B104" s="115" t="s">
        <v>733</v>
      </c>
      <c r="C104" s="116" t="s">
        <v>43</v>
      </c>
      <c r="D104" s="114" t="s">
        <v>249</v>
      </c>
      <c r="E104" s="114" t="s">
        <v>80</v>
      </c>
      <c r="F104" s="114" t="s">
        <v>377</v>
      </c>
      <c r="G104" s="117">
        <v>42231</v>
      </c>
      <c r="H104" s="118">
        <v>0</v>
      </c>
      <c r="I104" s="118">
        <v>42.76</v>
      </c>
      <c r="J104" s="114" t="s">
        <v>48</v>
      </c>
      <c r="K104" s="120">
        <v>41.92</v>
      </c>
      <c r="L104" s="119">
        <v>2.3400000000000001E-2</v>
      </c>
      <c r="M104" s="120">
        <v>0.4</v>
      </c>
      <c r="N104" s="120">
        <v>1.1100000000000001</v>
      </c>
      <c r="O104" s="118">
        <v>-21.85</v>
      </c>
      <c r="P104" s="119">
        <v>0.1671</v>
      </c>
      <c r="Q104" s="120">
        <v>0</v>
      </c>
      <c r="R104" s="114"/>
    </row>
    <row r="105" spans="1:18" ht="15" customHeight="1" x14ac:dyDescent="0.55000000000000004">
      <c r="A105" s="114" t="s">
        <v>734</v>
      </c>
      <c r="B105" s="115" t="s">
        <v>735</v>
      </c>
      <c r="C105" s="116" t="s">
        <v>43</v>
      </c>
      <c r="D105" s="114" t="s">
        <v>249</v>
      </c>
      <c r="E105" s="114" t="s">
        <v>80</v>
      </c>
      <c r="F105" s="114" t="s">
        <v>377</v>
      </c>
      <c r="G105" s="117">
        <v>42024</v>
      </c>
      <c r="H105" s="118">
        <v>35.17</v>
      </c>
      <c r="I105" s="118">
        <v>83.16</v>
      </c>
      <c r="J105" s="119">
        <v>2.3645</v>
      </c>
      <c r="K105" s="120">
        <v>27</v>
      </c>
      <c r="L105" s="119">
        <v>1.8599999999999998E-2</v>
      </c>
      <c r="M105" s="120">
        <v>0.6</v>
      </c>
      <c r="N105" s="120">
        <v>1.18</v>
      </c>
      <c r="O105" s="118">
        <v>-5.64</v>
      </c>
      <c r="P105" s="119">
        <v>9.2499999999999999E-2</v>
      </c>
      <c r="Q105" s="114"/>
      <c r="R105" s="114"/>
    </row>
    <row r="106" spans="1:18" ht="15" customHeight="1" x14ac:dyDescent="0.55000000000000004">
      <c r="A106" s="114" t="s">
        <v>494</v>
      </c>
      <c r="B106" s="115" t="s">
        <v>495</v>
      </c>
      <c r="C106" s="116" t="s">
        <v>479</v>
      </c>
      <c r="D106" s="114" t="s">
        <v>59</v>
      </c>
      <c r="E106" s="114" t="s">
        <v>80</v>
      </c>
      <c r="F106" s="114" t="s">
        <v>81</v>
      </c>
      <c r="G106" s="117">
        <v>42272</v>
      </c>
      <c r="H106" s="118">
        <v>57.53</v>
      </c>
      <c r="I106" s="118">
        <v>67.540000000000006</v>
      </c>
      <c r="J106" s="119">
        <v>1.1739999999999999</v>
      </c>
      <c r="K106" s="120">
        <v>22.51</v>
      </c>
      <c r="L106" s="114" t="s">
        <v>48</v>
      </c>
      <c r="M106" s="120">
        <v>0.7</v>
      </c>
      <c r="N106" s="120">
        <v>2.19</v>
      </c>
      <c r="O106" s="118">
        <v>-0.83</v>
      </c>
      <c r="P106" s="119">
        <v>7.0099999999999996E-2</v>
      </c>
      <c r="Q106" s="120">
        <v>0</v>
      </c>
      <c r="R106" s="118">
        <v>35.950000000000003</v>
      </c>
    </row>
    <row r="107" spans="1:18" ht="15" customHeight="1" x14ac:dyDescent="0.55000000000000004">
      <c r="A107" s="114" t="s">
        <v>496</v>
      </c>
      <c r="B107" s="115" t="s">
        <v>497</v>
      </c>
      <c r="C107" s="116" t="s">
        <v>479</v>
      </c>
      <c r="D107" s="114" t="s">
        <v>249</v>
      </c>
      <c r="E107" s="114" t="s">
        <v>98</v>
      </c>
      <c r="F107" s="114" t="s">
        <v>412</v>
      </c>
      <c r="G107" s="117">
        <v>42206</v>
      </c>
      <c r="H107" s="118">
        <v>82.62</v>
      </c>
      <c r="I107" s="118">
        <v>69.37</v>
      </c>
      <c r="J107" s="119">
        <v>0.83960000000000001</v>
      </c>
      <c r="K107" s="120">
        <v>11.78</v>
      </c>
      <c r="L107" s="119">
        <v>4.4400000000000002E-2</v>
      </c>
      <c r="M107" s="120">
        <v>1.6</v>
      </c>
      <c r="N107" s="120">
        <v>1.45</v>
      </c>
      <c r="O107" s="118">
        <v>-44.13</v>
      </c>
      <c r="P107" s="119">
        <v>1.6400000000000001E-2</v>
      </c>
      <c r="Q107" s="114"/>
      <c r="R107" s="114"/>
    </row>
    <row r="108" spans="1:18" ht="15" customHeight="1" x14ac:dyDescent="0.55000000000000004">
      <c r="A108" s="114" t="s">
        <v>92</v>
      </c>
      <c r="B108" s="115" t="s">
        <v>93</v>
      </c>
      <c r="C108" s="116" t="s">
        <v>79</v>
      </c>
      <c r="D108" s="114" t="s">
        <v>43</v>
      </c>
      <c r="E108" s="114" t="s">
        <v>44</v>
      </c>
      <c r="F108" s="114" t="s">
        <v>45</v>
      </c>
      <c r="G108" s="117">
        <v>42415</v>
      </c>
      <c r="H108" s="118">
        <v>158.69999999999999</v>
      </c>
      <c r="I108" s="118">
        <v>118.36</v>
      </c>
      <c r="J108" s="119">
        <v>0.74580000000000002</v>
      </c>
      <c r="K108" s="120">
        <v>13.15</v>
      </c>
      <c r="L108" s="114" t="s">
        <v>48</v>
      </c>
      <c r="M108" s="120">
        <v>1</v>
      </c>
      <c r="N108" s="114" t="s">
        <v>48</v>
      </c>
      <c r="O108" s="114" t="s">
        <v>48</v>
      </c>
      <c r="P108" s="119">
        <v>2.3300000000000001E-2</v>
      </c>
      <c r="Q108" s="120">
        <v>0</v>
      </c>
      <c r="R108" s="118">
        <v>135.65</v>
      </c>
    </row>
    <row r="109" spans="1:18" ht="15" customHeight="1" x14ac:dyDescent="0.55000000000000004">
      <c r="A109" s="114" t="s">
        <v>860</v>
      </c>
      <c r="B109" s="115" t="s">
        <v>861</v>
      </c>
      <c r="C109" s="116" t="s">
        <v>829</v>
      </c>
      <c r="D109" s="114" t="s">
        <v>249</v>
      </c>
      <c r="E109" s="114" t="s">
        <v>44</v>
      </c>
      <c r="F109" s="114" t="s">
        <v>250</v>
      </c>
      <c r="G109" s="117">
        <v>42028</v>
      </c>
      <c r="H109" s="118">
        <v>44.33</v>
      </c>
      <c r="I109" s="118">
        <v>26.43</v>
      </c>
      <c r="J109" s="119">
        <v>0.59619999999999995</v>
      </c>
      <c r="K109" s="120">
        <v>22.98</v>
      </c>
      <c r="L109" s="114" t="s">
        <v>48</v>
      </c>
      <c r="M109" s="120">
        <v>2.1</v>
      </c>
      <c r="N109" s="120">
        <v>1.29</v>
      </c>
      <c r="O109" s="118">
        <v>-5.75</v>
      </c>
      <c r="P109" s="119">
        <v>7.2400000000000006E-2</v>
      </c>
      <c r="Q109" s="114"/>
      <c r="R109" s="114"/>
    </row>
    <row r="110" spans="1:18" ht="15" customHeight="1" x14ac:dyDescent="0.55000000000000004">
      <c r="A110" s="114" t="s">
        <v>229</v>
      </c>
      <c r="B110" s="115" t="s">
        <v>230</v>
      </c>
      <c r="C110" s="116" t="s">
        <v>215</v>
      </c>
      <c r="D110" s="114" t="s">
        <v>59</v>
      </c>
      <c r="E110" s="114" t="s">
        <v>44</v>
      </c>
      <c r="F110" s="114" t="s">
        <v>60</v>
      </c>
      <c r="G110" s="117">
        <v>42320</v>
      </c>
      <c r="H110" s="118">
        <v>145.81</v>
      </c>
      <c r="I110" s="118">
        <v>50.14</v>
      </c>
      <c r="J110" s="119">
        <v>0.34389999999999998</v>
      </c>
      <c r="K110" s="120">
        <v>13.23</v>
      </c>
      <c r="L110" s="119">
        <v>1.2E-2</v>
      </c>
      <c r="M110" s="120">
        <v>1.8</v>
      </c>
      <c r="N110" s="120">
        <v>1.62</v>
      </c>
      <c r="O110" s="118">
        <v>-26.46</v>
      </c>
      <c r="P110" s="119">
        <v>2.3599999999999999E-2</v>
      </c>
      <c r="Q110" s="120">
        <v>5</v>
      </c>
      <c r="R110" s="118">
        <v>33.409999999999997</v>
      </c>
    </row>
    <row r="111" spans="1:18" ht="15" customHeight="1" x14ac:dyDescent="0.55000000000000004">
      <c r="A111" s="114" t="s">
        <v>367</v>
      </c>
      <c r="B111" s="115" t="s">
        <v>368</v>
      </c>
      <c r="C111" s="116" t="s">
        <v>304</v>
      </c>
      <c r="D111" s="114" t="s">
        <v>249</v>
      </c>
      <c r="E111" s="114" t="s">
        <v>44</v>
      </c>
      <c r="F111" s="114" t="s">
        <v>250</v>
      </c>
      <c r="G111" s="117">
        <v>42248</v>
      </c>
      <c r="H111" s="118">
        <v>94.53</v>
      </c>
      <c r="I111" s="118">
        <v>48.46</v>
      </c>
      <c r="J111" s="119">
        <v>0.51259999999999994</v>
      </c>
      <c r="K111" s="120">
        <v>19.7</v>
      </c>
      <c r="L111" s="119">
        <v>2.4799999999999999E-2</v>
      </c>
      <c r="M111" s="120">
        <v>1</v>
      </c>
      <c r="N111" s="120">
        <v>1.01</v>
      </c>
      <c r="O111" s="118">
        <v>-20.59</v>
      </c>
      <c r="P111" s="119">
        <v>5.6000000000000001E-2</v>
      </c>
      <c r="Q111" s="120">
        <v>8</v>
      </c>
      <c r="R111" s="118">
        <v>15.38</v>
      </c>
    </row>
    <row r="112" spans="1:18" ht="15" customHeight="1" x14ac:dyDescent="0.55000000000000004">
      <c r="A112" s="114" t="s">
        <v>736</v>
      </c>
      <c r="B112" s="115" t="s">
        <v>737</v>
      </c>
      <c r="C112" s="116" t="s">
        <v>43</v>
      </c>
      <c r="D112" s="114" t="s">
        <v>249</v>
      </c>
      <c r="E112" s="114" t="s">
        <v>80</v>
      </c>
      <c r="F112" s="114" t="s">
        <v>377</v>
      </c>
      <c r="G112" s="117">
        <v>42131</v>
      </c>
      <c r="H112" s="118">
        <v>72.349999999999994</v>
      </c>
      <c r="I112" s="118">
        <v>88.41</v>
      </c>
      <c r="J112" s="119">
        <v>1.222</v>
      </c>
      <c r="K112" s="120">
        <v>47.03</v>
      </c>
      <c r="L112" s="119">
        <v>0.04</v>
      </c>
      <c r="M112" s="120">
        <v>0.4</v>
      </c>
      <c r="N112" s="120">
        <v>1.1299999999999999</v>
      </c>
      <c r="O112" s="118">
        <v>-40.9</v>
      </c>
      <c r="P112" s="119">
        <v>0.19259999999999999</v>
      </c>
      <c r="Q112" s="114"/>
      <c r="R112" s="114"/>
    </row>
    <row r="113" spans="1:18" ht="15" customHeight="1" x14ac:dyDescent="0.55000000000000004">
      <c r="A113" s="114" t="s">
        <v>862</v>
      </c>
      <c r="B113" s="115" t="s">
        <v>863</v>
      </c>
      <c r="C113" s="116" t="s">
        <v>829</v>
      </c>
      <c r="D113" s="114" t="s">
        <v>249</v>
      </c>
      <c r="E113" s="114" t="s">
        <v>80</v>
      </c>
      <c r="F113" s="114" t="s">
        <v>377</v>
      </c>
      <c r="G113" s="117">
        <v>42101</v>
      </c>
      <c r="H113" s="118">
        <v>1.95</v>
      </c>
      <c r="I113" s="118">
        <v>48.17</v>
      </c>
      <c r="J113" s="119">
        <v>24.7026</v>
      </c>
      <c r="K113" s="120">
        <v>25.62</v>
      </c>
      <c r="L113" s="119">
        <v>2.4899999999999999E-2</v>
      </c>
      <c r="M113" s="120">
        <v>0.8</v>
      </c>
      <c r="N113" s="120">
        <v>0.19</v>
      </c>
      <c r="O113" s="118">
        <v>-17.89</v>
      </c>
      <c r="P113" s="119">
        <v>8.5599999999999996E-2</v>
      </c>
      <c r="Q113" s="114"/>
      <c r="R113" s="114"/>
    </row>
    <row r="114" spans="1:18" ht="15" customHeight="1" x14ac:dyDescent="0.55000000000000004">
      <c r="A114" s="114" t="s">
        <v>1055</v>
      </c>
      <c r="B114" s="115" t="s">
        <v>1056</v>
      </c>
      <c r="C114" s="116" t="s">
        <v>98</v>
      </c>
      <c r="D114" s="114" t="s">
        <v>249</v>
      </c>
      <c r="E114" s="114" t="s">
        <v>80</v>
      </c>
      <c r="F114" s="114" t="s">
        <v>377</v>
      </c>
      <c r="G114" s="117">
        <v>42349</v>
      </c>
      <c r="H114" s="118">
        <v>79.5</v>
      </c>
      <c r="I114" s="118">
        <v>104.73</v>
      </c>
      <c r="J114" s="119">
        <v>1.3173999999999999</v>
      </c>
      <c r="K114" s="120">
        <v>50.59</v>
      </c>
      <c r="L114" s="114" t="s">
        <v>48</v>
      </c>
      <c r="M114" s="120">
        <v>1.3</v>
      </c>
      <c r="N114" s="120">
        <v>3.23</v>
      </c>
      <c r="O114" s="118">
        <v>-14.97</v>
      </c>
      <c r="P114" s="119">
        <v>0.21049999999999999</v>
      </c>
      <c r="Q114" s="120">
        <v>0</v>
      </c>
      <c r="R114" s="118">
        <v>18.920000000000002</v>
      </c>
    </row>
    <row r="115" spans="1:18" ht="15" customHeight="1" x14ac:dyDescent="0.55000000000000004">
      <c r="A115" s="114" t="s">
        <v>369</v>
      </c>
      <c r="B115" s="115" t="s">
        <v>370</v>
      </c>
      <c r="C115" s="116" t="s">
        <v>304</v>
      </c>
      <c r="D115" s="114" t="s">
        <v>59</v>
      </c>
      <c r="E115" s="114" t="s">
        <v>98</v>
      </c>
      <c r="F115" s="114" t="s">
        <v>150</v>
      </c>
      <c r="G115" s="117">
        <v>42402</v>
      </c>
      <c r="H115" s="118">
        <v>51.74</v>
      </c>
      <c r="I115" s="118">
        <v>51.3</v>
      </c>
      <c r="J115" s="119">
        <v>0.99150000000000005</v>
      </c>
      <c r="K115" s="120">
        <v>37.450000000000003</v>
      </c>
      <c r="L115" s="114" t="s">
        <v>48</v>
      </c>
      <c r="M115" s="120">
        <v>0.6</v>
      </c>
      <c r="N115" s="120">
        <v>2.15</v>
      </c>
      <c r="O115" s="118">
        <v>0.34</v>
      </c>
      <c r="P115" s="119">
        <v>0.1447</v>
      </c>
      <c r="Q115" s="120">
        <v>0</v>
      </c>
      <c r="R115" s="118">
        <v>20.16</v>
      </c>
    </row>
    <row r="116" spans="1:18" ht="15" customHeight="1" x14ac:dyDescent="0.55000000000000004">
      <c r="A116" s="114" t="s">
        <v>40</v>
      </c>
      <c r="B116" s="115" t="s">
        <v>41</v>
      </c>
      <c r="C116" s="116" t="s">
        <v>42</v>
      </c>
      <c r="D116" s="114" t="s">
        <v>43</v>
      </c>
      <c r="E116" s="114" t="s">
        <v>44</v>
      </c>
      <c r="F116" s="114" t="s">
        <v>45</v>
      </c>
      <c r="G116" s="117">
        <v>42271</v>
      </c>
      <c r="H116" s="118">
        <v>172.75</v>
      </c>
      <c r="I116" s="118">
        <v>34.729999999999997</v>
      </c>
      <c r="J116" s="119">
        <v>0.20100000000000001</v>
      </c>
      <c r="K116" s="120">
        <v>7.31</v>
      </c>
      <c r="L116" s="119">
        <v>3.4599999999999999E-2</v>
      </c>
      <c r="M116" s="120">
        <v>1.8</v>
      </c>
      <c r="N116" s="120">
        <v>1.81</v>
      </c>
      <c r="O116" s="118">
        <v>-23.36</v>
      </c>
      <c r="P116" s="119">
        <v>-5.8999999999999999E-3</v>
      </c>
      <c r="Q116" s="120">
        <v>5</v>
      </c>
      <c r="R116" s="118">
        <v>38.659999999999997</v>
      </c>
    </row>
    <row r="117" spans="1:18" ht="15" customHeight="1" x14ac:dyDescent="0.55000000000000004">
      <c r="A117" s="114" t="s">
        <v>498</v>
      </c>
      <c r="B117" s="115" t="s">
        <v>499</v>
      </c>
      <c r="C117" s="116" t="s">
        <v>479</v>
      </c>
      <c r="D117" s="114" t="s">
        <v>249</v>
      </c>
      <c r="E117" s="114" t="s">
        <v>44</v>
      </c>
      <c r="F117" s="114" t="s">
        <v>250</v>
      </c>
      <c r="G117" s="117">
        <v>42029</v>
      </c>
      <c r="H117" s="118">
        <v>33.979999999999997</v>
      </c>
      <c r="I117" s="118">
        <v>3.41</v>
      </c>
      <c r="J117" s="119">
        <v>0.1004</v>
      </c>
      <c r="K117" s="120">
        <v>3.88</v>
      </c>
      <c r="L117" s="114" t="s">
        <v>48</v>
      </c>
      <c r="M117" s="120">
        <v>1.4</v>
      </c>
      <c r="N117" s="120">
        <v>0.56000000000000005</v>
      </c>
      <c r="O117" s="118">
        <v>-31.92</v>
      </c>
      <c r="P117" s="119">
        <v>-2.3099999999999999E-2</v>
      </c>
      <c r="Q117" s="114"/>
      <c r="R117" s="114"/>
    </row>
    <row r="118" spans="1:18" ht="15" customHeight="1" x14ac:dyDescent="0.55000000000000004">
      <c r="A118" s="114" t="s">
        <v>738</v>
      </c>
      <c r="B118" s="115" t="s">
        <v>739</v>
      </c>
      <c r="C118" s="116" t="s">
        <v>43</v>
      </c>
      <c r="D118" s="114" t="s">
        <v>249</v>
      </c>
      <c r="E118" s="114" t="s">
        <v>80</v>
      </c>
      <c r="F118" s="114" t="s">
        <v>377</v>
      </c>
      <c r="G118" s="117">
        <v>42208</v>
      </c>
      <c r="H118" s="118">
        <v>55.03</v>
      </c>
      <c r="I118" s="118">
        <v>71.41</v>
      </c>
      <c r="J118" s="119">
        <v>1.2977000000000001</v>
      </c>
      <c r="K118" s="120">
        <v>23.34</v>
      </c>
      <c r="L118" s="119">
        <v>2.41E-2</v>
      </c>
      <c r="M118" s="120">
        <v>0.3</v>
      </c>
      <c r="N118" s="120">
        <v>1.1200000000000001</v>
      </c>
      <c r="O118" s="118">
        <v>-2.76</v>
      </c>
      <c r="P118" s="119">
        <v>7.4200000000000002E-2</v>
      </c>
      <c r="Q118" s="114"/>
      <c r="R118" s="114"/>
    </row>
    <row r="119" spans="1:18" ht="15" customHeight="1" x14ac:dyDescent="0.55000000000000004">
      <c r="A119" s="114" t="s">
        <v>653</v>
      </c>
      <c r="B119" s="115" t="s">
        <v>654</v>
      </c>
      <c r="C119" s="116" t="s">
        <v>634</v>
      </c>
      <c r="D119" s="114" t="s">
        <v>59</v>
      </c>
      <c r="E119" s="114" t="s">
        <v>44</v>
      </c>
      <c r="F119" s="114" t="s">
        <v>60</v>
      </c>
      <c r="G119" s="117">
        <v>42399</v>
      </c>
      <c r="H119" s="118">
        <v>197.09</v>
      </c>
      <c r="I119" s="118">
        <v>140.5</v>
      </c>
      <c r="J119" s="119">
        <v>0.71289999999999998</v>
      </c>
      <c r="K119" s="120">
        <v>20.420000000000002</v>
      </c>
      <c r="L119" s="119">
        <v>2.9999999999999997E-4</v>
      </c>
      <c r="M119" s="120">
        <v>0.7</v>
      </c>
      <c r="N119" s="114" t="s">
        <v>48</v>
      </c>
      <c r="O119" s="114" t="s">
        <v>48</v>
      </c>
      <c r="P119" s="119">
        <v>5.96E-2</v>
      </c>
      <c r="Q119" s="120">
        <v>0</v>
      </c>
      <c r="R119" s="118">
        <v>91.29</v>
      </c>
    </row>
    <row r="120" spans="1:18" ht="15" customHeight="1" x14ac:dyDescent="0.55000000000000004">
      <c r="A120" s="114" t="s">
        <v>157</v>
      </c>
      <c r="B120" s="115" t="s">
        <v>158</v>
      </c>
      <c r="C120" s="116" t="s">
        <v>142</v>
      </c>
      <c r="D120" s="114" t="s">
        <v>59</v>
      </c>
      <c r="E120" s="114" t="s">
        <v>98</v>
      </c>
      <c r="F120" s="114" t="s">
        <v>150</v>
      </c>
      <c r="G120" s="117">
        <v>42314</v>
      </c>
      <c r="H120" s="118">
        <v>68.040000000000006</v>
      </c>
      <c r="I120" s="118">
        <v>64.25</v>
      </c>
      <c r="J120" s="119">
        <v>0.94430000000000003</v>
      </c>
      <c r="K120" s="120">
        <v>20.59</v>
      </c>
      <c r="L120" s="119">
        <v>2.9899999999999999E-2</v>
      </c>
      <c r="M120" s="120">
        <v>0.8</v>
      </c>
      <c r="N120" s="114" t="s">
        <v>48</v>
      </c>
      <c r="O120" s="114" t="s">
        <v>48</v>
      </c>
      <c r="P120" s="119">
        <v>6.0499999999999998E-2</v>
      </c>
      <c r="Q120" s="120">
        <v>20</v>
      </c>
      <c r="R120" s="118">
        <v>56.97</v>
      </c>
    </row>
    <row r="121" spans="1:18" ht="15" customHeight="1" x14ac:dyDescent="0.55000000000000004">
      <c r="A121" s="114" t="s">
        <v>500</v>
      </c>
      <c r="B121" s="115" t="s">
        <v>501</v>
      </c>
      <c r="C121" s="116" t="s">
        <v>479</v>
      </c>
      <c r="D121" s="114" t="s">
        <v>249</v>
      </c>
      <c r="E121" s="114" t="s">
        <v>80</v>
      </c>
      <c r="F121" s="114" t="s">
        <v>377</v>
      </c>
      <c r="G121" s="117">
        <v>42396</v>
      </c>
      <c r="H121" s="118">
        <v>32.950000000000003</v>
      </c>
      <c r="I121" s="118">
        <v>67.08</v>
      </c>
      <c r="J121" s="119">
        <v>2.0358000000000001</v>
      </c>
      <c r="K121" s="120">
        <v>26.62</v>
      </c>
      <c r="L121" s="119">
        <v>2.2700000000000001E-2</v>
      </c>
      <c r="M121" s="120">
        <v>0.5</v>
      </c>
      <c r="N121" s="120">
        <v>1.29</v>
      </c>
      <c r="O121" s="118">
        <v>-9.06</v>
      </c>
      <c r="P121" s="119">
        <v>9.06E-2</v>
      </c>
      <c r="Q121" s="120">
        <v>20</v>
      </c>
      <c r="R121" s="118">
        <v>4.1399999999999997</v>
      </c>
    </row>
    <row r="122" spans="1:18" ht="15" customHeight="1" x14ac:dyDescent="0.55000000000000004">
      <c r="A122" s="114" t="s">
        <v>1057</v>
      </c>
      <c r="B122" s="115" t="s">
        <v>1058</v>
      </c>
      <c r="C122" s="116" t="s">
        <v>98</v>
      </c>
      <c r="D122" s="114" t="s">
        <v>249</v>
      </c>
      <c r="E122" s="114" t="s">
        <v>80</v>
      </c>
      <c r="F122" s="114" t="s">
        <v>377</v>
      </c>
      <c r="G122" s="117">
        <v>42240</v>
      </c>
      <c r="H122" s="118">
        <v>0</v>
      </c>
      <c r="I122" s="118">
        <v>2.81</v>
      </c>
      <c r="J122" s="114" t="s">
        <v>48</v>
      </c>
      <c r="K122" s="114" t="s">
        <v>48</v>
      </c>
      <c r="L122" s="114" t="s">
        <v>48</v>
      </c>
      <c r="M122" s="120">
        <v>1.6</v>
      </c>
      <c r="N122" s="120">
        <v>1.82</v>
      </c>
      <c r="O122" s="118">
        <v>-20.56</v>
      </c>
      <c r="P122" s="119">
        <v>-4.3499999999999997E-2</v>
      </c>
      <c r="Q122" s="120">
        <v>0</v>
      </c>
      <c r="R122" s="114"/>
    </row>
    <row r="123" spans="1:18" ht="15" customHeight="1" x14ac:dyDescent="0.55000000000000004">
      <c r="A123" s="114" t="s">
        <v>502</v>
      </c>
      <c r="B123" s="115" t="s">
        <v>503</v>
      </c>
      <c r="C123" s="116" t="s">
        <v>479</v>
      </c>
      <c r="D123" s="114" t="s">
        <v>249</v>
      </c>
      <c r="E123" s="114" t="s">
        <v>80</v>
      </c>
      <c r="F123" s="114" t="s">
        <v>377</v>
      </c>
      <c r="G123" s="117">
        <v>42257</v>
      </c>
      <c r="H123" s="118">
        <v>52</v>
      </c>
      <c r="I123" s="118">
        <v>126.06</v>
      </c>
      <c r="J123" s="119">
        <v>2.4241999999999999</v>
      </c>
      <c r="K123" s="120">
        <v>28.39</v>
      </c>
      <c r="L123" s="119">
        <v>2.4400000000000002E-2</v>
      </c>
      <c r="M123" s="120">
        <v>0.4</v>
      </c>
      <c r="N123" s="120">
        <v>1.02</v>
      </c>
      <c r="O123" s="118">
        <v>-19.850000000000001</v>
      </c>
      <c r="P123" s="119">
        <v>9.9500000000000005E-2</v>
      </c>
      <c r="Q123" s="120">
        <v>20</v>
      </c>
      <c r="R123" s="118">
        <v>9.91</v>
      </c>
    </row>
    <row r="124" spans="1:18" ht="15" customHeight="1" x14ac:dyDescent="0.55000000000000004">
      <c r="A124" s="114" t="s">
        <v>94</v>
      </c>
      <c r="B124" s="115" t="s">
        <v>95</v>
      </c>
      <c r="C124" s="116" t="s">
        <v>79</v>
      </c>
      <c r="D124" s="114" t="s">
        <v>59</v>
      </c>
      <c r="E124" s="114" t="s">
        <v>44</v>
      </c>
      <c r="F124" s="114" t="s">
        <v>60</v>
      </c>
      <c r="G124" s="117">
        <v>42415</v>
      </c>
      <c r="H124" s="118">
        <v>95.18</v>
      </c>
      <c r="I124" s="118">
        <v>35.79</v>
      </c>
      <c r="J124" s="119">
        <v>0.376</v>
      </c>
      <c r="K124" s="120">
        <v>12.34</v>
      </c>
      <c r="L124" s="119">
        <v>2.35E-2</v>
      </c>
      <c r="M124" s="120">
        <v>1.5</v>
      </c>
      <c r="N124" s="114" t="s">
        <v>48</v>
      </c>
      <c r="O124" s="114" t="s">
        <v>48</v>
      </c>
      <c r="P124" s="119">
        <v>1.9199999999999998E-2</v>
      </c>
      <c r="Q124" s="120">
        <v>7</v>
      </c>
      <c r="R124" s="118">
        <v>51.96</v>
      </c>
    </row>
    <row r="125" spans="1:18" ht="15" customHeight="1" x14ac:dyDescent="0.55000000000000004">
      <c r="A125" s="114" t="s">
        <v>504</v>
      </c>
      <c r="B125" s="115" t="s">
        <v>505</v>
      </c>
      <c r="C125" s="116" t="s">
        <v>479</v>
      </c>
      <c r="D125" s="114" t="s">
        <v>249</v>
      </c>
      <c r="E125" s="114" t="s">
        <v>44</v>
      </c>
      <c r="F125" s="114" t="s">
        <v>250</v>
      </c>
      <c r="G125" s="117">
        <v>42029</v>
      </c>
      <c r="H125" s="118">
        <v>92.71</v>
      </c>
      <c r="I125" s="118">
        <v>59.37</v>
      </c>
      <c r="J125" s="119">
        <v>0.64039999999999997</v>
      </c>
      <c r="K125" s="120">
        <v>24.63</v>
      </c>
      <c r="L125" s="119">
        <v>1.8499999999999999E-2</v>
      </c>
      <c r="M125" s="120">
        <v>1.1000000000000001</v>
      </c>
      <c r="N125" s="120">
        <v>0.82</v>
      </c>
      <c r="O125" s="118">
        <v>-35.17</v>
      </c>
      <c r="P125" s="119">
        <v>8.0699999999999994E-2</v>
      </c>
      <c r="Q125" s="114"/>
      <c r="R125" s="114"/>
    </row>
    <row r="126" spans="1:18" ht="15" customHeight="1" x14ac:dyDescent="0.55000000000000004">
      <c r="A126" s="114" t="s">
        <v>740</v>
      </c>
      <c r="B126" s="115" t="s">
        <v>741</v>
      </c>
      <c r="C126" s="116" t="s">
        <v>43</v>
      </c>
      <c r="D126" s="114" t="s">
        <v>249</v>
      </c>
      <c r="E126" s="114" t="s">
        <v>80</v>
      </c>
      <c r="F126" s="114" t="s">
        <v>377</v>
      </c>
      <c r="G126" s="117">
        <v>42282</v>
      </c>
      <c r="H126" s="118">
        <v>22.85</v>
      </c>
      <c r="I126" s="118">
        <v>93.3</v>
      </c>
      <c r="J126" s="119">
        <v>4.0831999999999997</v>
      </c>
      <c r="K126" s="120">
        <v>27.6</v>
      </c>
      <c r="L126" s="119">
        <v>2.5700000000000001E-2</v>
      </c>
      <c r="M126" s="120">
        <v>0.9</v>
      </c>
      <c r="N126" s="120">
        <v>1.04</v>
      </c>
      <c r="O126" s="118">
        <v>-24.72</v>
      </c>
      <c r="P126" s="119">
        <v>9.5500000000000002E-2</v>
      </c>
      <c r="Q126" s="120">
        <v>5</v>
      </c>
      <c r="R126" s="118">
        <v>71.069999999999993</v>
      </c>
    </row>
    <row r="127" spans="1:18" ht="15" customHeight="1" x14ac:dyDescent="0.55000000000000004">
      <c r="A127" s="114" t="s">
        <v>506</v>
      </c>
      <c r="B127" s="115" t="s">
        <v>507</v>
      </c>
      <c r="C127" s="116" t="s">
        <v>479</v>
      </c>
      <c r="D127" s="114" t="s">
        <v>59</v>
      </c>
      <c r="E127" s="114" t="s">
        <v>80</v>
      </c>
      <c r="F127" s="114" t="s">
        <v>81</v>
      </c>
      <c r="G127" s="117">
        <v>42416</v>
      </c>
      <c r="H127" s="118">
        <v>297.52</v>
      </c>
      <c r="I127" s="118">
        <v>525.77</v>
      </c>
      <c r="J127" s="119">
        <v>1.7672000000000001</v>
      </c>
      <c r="K127" s="120">
        <v>49.05</v>
      </c>
      <c r="L127" s="114" t="s">
        <v>48</v>
      </c>
      <c r="M127" s="120">
        <v>0.6</v>
      </c>
      <c r="N127" s="120">
        <v>2.91</v>
      </c>
      <c r="O127" s="118">
        <v>6.91</v>
      </c>
      <c r="P127" s="119">
        <v>0.20269999999999999</v>
      </c>
      <c r="Q127" s="120">
        <v>0</v>
      </c>
      <c r="R127" s="118">
        <v>94.22</v>
      </c>
    </row>
    <row r="128" spans="1:18" ht="15" customHeight="1" x14ac:dyDescent="0.55000000000000004">
      <c r="A128" s="114" t="s">
        <v>306</v>
      </c>
      <c r="B128" s="115" t="s">
        <v>307</v>
      </c>
      <c r="C128" s="116" t="s">
        <v>297</v>
      </c>
      <c r="D128" s="114" t="s">
        <v>43</v>
      </c>
      <c r="E128" s="114" t="s">
        <v>44</v>
      </c>
      <c r="F128" s="114" t="s">
        <v>45</v>
      </c>
      <c r="G128" s="117">
        <v>42349</v>
      </c>
      <c r="H128" s="118">
        <v>206.36</v>
      </c>
      <c r="I128" s="118">
        <v>99.44</v>
      </c>
      <c r="J128" s="119">
        <v>0.4819</v>
      </c>
      <c r="K128" s="120">
        <v>11.42</v>
      </c>
      <c r="L128" s="119">
        <v>3.9199999999999999E-2</v>
      </c>
      <c r="M128" s="120">
        <v>1.5</v>
      </c>
      <c r="N128" s="120">
        <v>2.23</v>
      </c>
      <c r="O128" s="118">
        <v>4.59</v>
      </c>
      <c r="P128" s="119">
        <v>1.46E-2</v>
      </c>
      <c r="Q128" s="120">
        <v>10</v>
      </c>
      <c r="R128" s="118">
        <v>92.89</v>
      </c>
    </row>
    <row r="129" spans="1:18" ht="15" customHeight="1" x14ac:dyDescent="0.55000000000000004">
      <c r="A129" s="114" t="s">
        <v>508</v>
      </c>
      <c r="B129" s="115" t="s">
        <v>509</v>
      </c>
      <c r="C129" s="116" t="s">
        <v>479</v>
      </c>
      <c r="D129" s="114" t="s">
        <v>249</v>
      </c>
      <c r="E129" s="114" t="s">
        <v>44</v>
      </c>
      <c r="F129" s="114" t="s">
        <v>250</v>
      </c>
      <c r="G129" s="117">
        <v>42051</v>
      </c>
      <c r="H129" s="118">
        <v>61.47</v>
      </c>
      <c r="I129" s="118">
        <v>39.450000000000003</v>
      </c>
      <c r="J129" s="119">
        <v>0.64180000000000004</v>
      </c>
      <c r="K129" s="120">
        <v>24.66</v>
      </c>
      <c r="L129" s="119">
        <v>3.1399999999999997E-2</v>
      </c>
      <c r="M129" s="120">
        <v>0.1</v>
      </c>
      <c r="N129" s="120">
        <v>1.29</v>
      </c>
      <c r="O129" s="118">
        <v>-46.97</v>
      </c>
      <c r="P129" s="119">
        <v>8.0799999999999997E-2</v>
      </c>
      <c r="Q129" s="114"/>
      <c r="R129" s="114"/>
    </row>
    <row r="130" spans="1:18" ht="15" customHeight="1" x14ac:dyDescent="0.55000000000000004">
      <c r="A130" s="114" t="s">
        <v>510</v>
      </c>
      <c r="B130" s="115" t="s">
        <v>511</v>
      </c>
      <c r="C130" s="116" t="s">
        <v>479</v>
      </c>
      <c r="D130" s="114" t="s">
        <v>249</v>
      </c>
      <c r="E130" s="114" t="s">
        <v>98</v>
      </c>
      <c r="F130" s="114" t="s">
        <v>412</v>
      </c>
      <c r="G130" s="117">
        <v>42078</v>
      </c>
      <c r="H130" s="118">
        <v>19.5</v>
      </c>
      <c r="I130" s="118">
        <v>18.82</v>
      </c>
      <c r="J130" s="119">
        <v>0.96509999999999996</v>
      </c>
      <c r="K130" s="120">
        <v>13.94</v>
      </c>
      <c r="L130" s="119">
        <v>5.4699999999999999E-2</v>
      </c>
      <c r="M130" s="120">
        <v>0.3</v>
      </c>
      <c r="N130" s="120">
        <v>0.94</v>
      </c>
      <c r="O130" s="118">
        <v>-35.369999999999997</v>
      </c>
      <c r="P130" s="119">
        <v>2.7199999999999998E-2</v>
      </c>
      <c r="Q130" s="114"/>
      <c r="R130" s="114"/>
    </row>
    <row r="131" spans="1:18" ht="15" customHeight="1" x14ac:dyDescent="0.55000000000000004">
      <c r="A131" s="114" t="s">
        <v>742</v>
      </c>
      <c r="B131" s="115" t="s">
        <v>743</v>
      </c>
      <c r="C131" s="116" t="s">
        <v>43</v>
      </c>
      <c r="D131" s="114" t="s">
        <v>249</v>
      </c>
      <c r="E131" s="114" t="s">
        <v>80</v>
      </c>
      <c r="F131" s="114" t="s">
        <v>377</v>
      </c>
      <c r="G131" s="117">
        <v>42333</v>
      </c>
      <c r="H131" s="118">
        <v>0</v>
      </c>
      <c r="I131" s="118">
        <v>9.4499999999999993</v>
      </c>
      <c r="J131" s="114" t="s">
        <v>48</v>
      </c>
      <c r="K131" s="120">
        <v>18.899999999999999</v>
      </c>
      <c r="L131" s="119">
        <v>4.1999999999999997E-3</v>
      </c>
      <c r="M131" s="120">
        <v>1.4</v>
      </c>
      <c r="N131" s="120">
        <v>0.52</v>
      </c>
      <c r="O131" s="118">
        <v>-23.9</v>
      </c>
      <c r="P131" s="119">
        <v>5.1999999999999998E-2</v>
      </c>
      <c r="Q131" s="120">
        <v>0</v>
      </c>
      <c r="R131" s="114" t="s">
        <v>48</v>
      </c>
    </row>
    <row r="132" spans="1:18" ht="15" customHeight="1" x14ac:dyDescent="0.55000000000000004">
      <c r="A132" s="114" t="s">
        <v>96</v>
      </c>
      <c r="B132" s="115" t="s">
        <v>97</v>
      </c>
      <c r="C132" s="116" t="s">
        <v>79</v>
      </c>
      <c r="D132" s="114" t="s">
        <v>59</v>
      </c>
      <c r="E132" s="114" t="s">
        <v>44</v>
      </c>
      <c r="F132" s="114" t="s">
        <v>60</v>
      </c>
      <c r="G132" s="117">
        <v>42398</v>
      </c>
      <c r="H132" s="118">
        <v>145.16999999999999</v>
      </c>
      <c r="I132" s="118">
        <v>69.14</v>
      </c>
      <c r="J132" s="119">
        <v>0.4763</v>
      </c>
      <c r="K132" s="120">
        <v>9.64</v>
      </c>
      <c r="L132" s="119">
        <v>2.3099999999999999E-2</v>
      </c>
      <c r="M132" s="120">
        <v>1.3</v>
      </c>
      <c r="N132" s="114" t="s">
        <v>48</v>
      </c>
      <c r="O132" s="114" t="s">
        <v>48</v>
      </c>
      <c r="P132" s="119">
        <v>5.7000000000000002E-3</v>
      </c>
      <c r="Q132" s="120">
        <v>1</v>
      </c>
      <c r="R132" s="118">
        <v>119.67</v>
      </c>
    </row>
    <row r="133" spans="1:18" ht="15" customHeight="1" x14ac:dyDescent="0.55000000000000004">
      <c r="A133" s="114" t="s">
        <v>1059</v>
      </c>
      <c r="B133" s="115" t="s">
        <v>1060</v>
      </c>
      <c r="C133" s="116" t="s">
        <v>98</v>
      </c>
      <c r="D133" s="114" t="s">
        <v>249</v>
      </c>
      <c r="E133" s="114" t="s">
        <v>80</v>
      </c>
      <c r="F133" s="114" t="s">
        <v>377</v>
      </c>
      <c r="G133" s="117">
        <v>42348</v>
      </c>
      <c r="H133" s="118">
        <v>0.12</v>
      </c>
      <c r="I133" s="118">
        <v>22.04</v>
      </c>
      <c r="J133" s="119">
        <v>183.66669999999999</v>
      </c>
      <c r="K133" s="120">
        <v>100.18</v>
      </c>
      <c r="L133" s="119">
        <v>3.5999999999999999E-3</v>
      </c>
      <c r="M133" s="120">
        <v>0.7</v>
      </c>
      <c r="N133" s="120">
        <v>0.81</v>
      </c>
      <c r="O133" s="118">
        <v>-7.61</v>
      </c>
      <c r="P133" s="119">
        <v>0.45839999999999997</v>
      </c>
      <c r="Q133" s="120">
        <v>4</v>
      </c>
      <c r="R133" s="114" t="s">
        <v>48</v>
      </c>
    </row>
    <row r="134" spans="1:18" ht="15" customHeight="1" x14ac:dyDescent="0.55000000000000004">
      <c r="A134" s="114" t="s">
        <v>655</v>
      </c>
      <c r="B134" s="115" t="s">
        <v>656</v>
      </c>
      <c r="C134" s="116" t="s">
        <v>634</v>
      </c>
      <c r="D134" s="114" t="s">
        <v>59</v>
      </c>
      <c r="E134" s="114" t="s">
        <v>80</v>
      </c>
      <c r="F134" s="114" t="s">
        <v>81</v>
      </c>
      <c r="G134" s="117">
        <v>42402</v>
      </c>
      <c r="H134" s="118">
        <v>4.9800000000000004</v>
      </c>
      <c r="I134" s="118">
        <v>38.869999999999997</v>
      </c>
      <c r="J134" s="119">
        <v>7.8052000000000001</v>
      </c>
      <c r="K134" s="120">
        <v>17.43</v>
      </c>
      <c r="L134" s="119">
        <v>3.4700000000000002E-2</v>
      </c>
      <c r="M134" s="120">
        <v>0.9</v>
      </c>
      <c r="N134" s="120">
        <v>3.27</v>
      </c>
      <c r="O134" s="118">
        <v>0.96</v>
      </c>
      <c r="P134" s="119">
        <v>4.4699999999999997E-2</v>
      </c>
      <c r="Q134" s="120">
        <v>1</v>
      </c>
      <c r="R134" s="118">
        <v>18.87</v>
      </c>
    </row>
    <row r="135" spans="1:18" ht="15" customHeight="1" x14ac:dyDescent="0.55000000000000004">
      <c r="A135" s="114" t="s">
        <v>371</v>
      </c>
      <c r="B135" s="115" t="s">
        <v>372</v>
      </c>
      <c r="C135" s="116" t="s">
        <v>304</v>
      </c>
      <c r="D135" s="114" t="s">
        <v>59</v>
      </c>
      <c r="E135" s="114" t="s">
        <v>80</v>
      </c>
      <c r="F135" s="114" t="s">
        <v>81</v>
      </c>
      <c r="G135" s="117">
        <v>42377</v>
      </c>
      <c r="H135" s="118">
        <v>74.58</v>
      </c>
      <c r="I135" s="118">
        <v>88.75</v>
      </c>
      <c r="J135" s="119">
        <v>1.19</v>
      </c>
      <c r="K135" s="120">
        <v>18.3</v>
      </c>
      <c r="L135" s="119">
        <v>1.49E-2</v>
      </c>
      <c r="M135" s="120">
        <v>0.7</v>
      </c>
      <c r="N135" s="120">
        <v>1.51</v>
      </c>
      <c r="O135" s="118">
        <v>-17.12</v>
      </c>
      <c r="P135" s="119">
        <v>4.9000000000000002E-2</v>
      </c>
      <c r="Q135" s="120">
        <v>2</v>
      </c>
      <c r="R135" s="118">
        <v>40.51</v>
      </c>
    </row>
    <row r="136" spans="1:18" ht="15" customHeight="1" x14ac:dyDescent="0.55000000000000004">
      <c r="A136" s="114" t="s">
        <v>373</v>
      </c>
      <c r="B136" s="115" t="s">
        <v>374</v>
      </c>
      <c r="C136" s="116" t="s">
        <v>304</v>
      </c>
      <c r="D136" s="114" t="s">
        <v>249</v>
      </c>
      <c r="E136" s="114" t="s">
        <v>44</v>
      </c>
      <c r="F136" s="114" t="s">
        <v>250</v>
      </c>
      <c r="G136" s="117">
        <v>42029</v>
      </c>
      <c r="H136" s="118">
        <v>259.85000000000002</v>
      </c>
      <c r="I136" s="118">
        <v>36.47</v>
      </c>
      <c r="J136" s="119">
        <v>0.1404</v>
      </c>
      <c r="K136" s="120">
        <v>5.4</v>
      </c>
      <c r="L136" s="119">
        <v>2.7400000000000001E-2</v>
      </c>
      <c r="M136" s="120">
        <v>1.3</v>
      </c>
      <c r="N136" s="120">
        <v>1.1499999999999999</v>
      </c>
      <c r="O136" s="118">
        <v>-38.049999999999997</v>
      </c>
      <c r="P136" s="119">
        <v>-1.55E-2</v>
      </c>
      <c r="Q136" s="114"/>
      <c r="R136" s="114"/>
    </row>
    <row r="137" spans="1:18" ht="15" customHeight="1" x14ac:dyDescent="0.55000000000000004">
      <c r="A137" s="114" t="s">
        <v>744</v>
      </c>
      <c r="B137" s="115" t="s">
        <v>745</v>
      </c>
      <c r="C137" s="116" t="s">
        <v>43</v>
      </c>
      <c r="D137" s="114" t="s">
        <v>249</v>
      </c>
      <c r="E137" s="114" t="s">
        <v>80</v>
      </c>
      <c r="F137" s="114" t="s">
        <v>377</v>
      </c>
      <c r="G137" s="117">
        <v>42029</v>
      </c>
      <c r="H137" s="118">
        <v>116.22</v>
      </c>
      <c r="I137" s="118">
        <v>152.79</v>
      </c>
      <c r="J137" s="119">
        <v>1.3147</v>
      </c>
      <c r="K137" s="120">
        <v>33.51</v>
      </c>
      <c r="L137" s="119">
        <v>1.0500000000000001E-2</v>
      </c>
      <c r="M137" s="120">
        <v>0.6</v>
      </c>
      <c r="N137" s="120">
        <v>1.2</v>
      </c>
      <c r="O137" s="118">
        <v>-7.01</v>
      </c>
      <c r="P137" s="119">
        <v>0.125</v>
      </c>
      <c r="Q137" s="114"/>
      <c r="R137" s="114"/>
    </row>
    <row r="138" spans="1:18" ht="15" customHeight="1" x14ac:dyDescent="0.55000000000000004">
      <c r="A138" s="114" t="s">
        <v>864</v>
      </c>
      <c r="B138" s="115" t="s">
        <v>865</v>
      </c>
      <c r="C138" s="116" t="s">
        <v>829</v>
      </c>
      <c r="D138" s="114" t="s">
        <v>249</v>
      </c>
      <c r="E138" s="114" t="s">
        <v>80</v>
      </c>
      <c r="F138" s="114" t="s">
        <v>377</v>
      </c>
      <c r="G138" s="117">
        <v>42030</v>
      </c>
      <c r="H138" s="118">
        <v>15.16</v>
      </c>
      <c r="I138" s="118">
        <v>61.46</v>
      </c>
      <c r="J138" s="119">
        <v>4.0541</v>
      </c>
      <c r="K138" s="120">
        <v>27.07</v>
      </c>
      <c r="L138" s="119">
        <v>2.0299999999999999E-2</v>
      </c>
      <c r="M138" s="120">
        <v>0.4</v>
      </c>
      <c r="N138" s="120">
        <v>0.74</v>
      </c>
      <c r="O138" s="118">
        <v>-13.67</v>
      </c>
      <c r="P138" s="119">
        <v>9.2899999999999996E-2</v>
      </c>
      <c r="Q138" s="114"/>
      <c r="R138" s="114"/>
    </row>
    <row r="139" spans="1:18" ht="15" customHeight="1" x14ac:dyDescent="0.55000000000000004">
      <c r="A139" s="114" t="s">
        <v>1061</v>
      </c>
      <c r="B139" s="115" t="s">
        <v>1062</v>
      </c>
      <c r="C139" s="116" t="s">
        <v>98</v>
      </c>
      <c r="D139" s="114" t="s">
        <v>249</v>
      </c>
      <c r="E139" s="114" t="s">
        <v>80</v>
      </c>
      <c r="F139" s="114" t="s">
        <v>377</v>
      </c>
      <c r="G139" s="117">
        <v>42399</v>
      </c>
      <c r="H139" s="118">
        <v>0</v>
      </c>
      <c r="I139" s="118">
        <v>70.42</v>
      </c>
      <c r="J139" s="114" t="s">
        <v>48</v>
      </c>
      <c r="K139" s="114" t="s">
        <v>48</v>
      </c>
      <c r="L139" s="114" t="s">
        <v>48</v>
      </c>
      <c r="M139" s="120">
        <v>1.6</v>
      </c>
      <c r="N139" s="120">
        <v>0.74</v>
      </c>
      <c r="O139" s="118">
        <v>-4.8499999999999996</v>
      </c>
      <c r="P139" s="119">
        <v>-1.7192000000000001</v>
      </c>
      <c r="Q139" s="120">
        <v>0</v>
      </c>
      <c r="R139" s="118">
        <v>4.9000000000000004</v>
      </c>
    </row>
    <row r="140" spans="1:18" ht="15" customHeight="1" x14ac:dyDescent="0.55000000000000004">
      <c r="A140" s="114" t="s">
        <v>1063</v>
      </c>
      <c r="B140" s="115" t="s">
        <v>1064</v>
      </c>
      <c r="C140" s="116" t="s">
        <v>98</v>
      </c>
      <c r="D140" s="114" t="s">
        <v>249</v>
      </c>
      <c r="E140" s="114" t="s">
        <v>80</v>
      </c>
      <c r="F140" s="114" t="s">
        <v>377</v>
      </c>
      <c r="G140" s="117">
        <v>42030</v>
      </c>
      <c r="H140" s="118">
        <v>0</v>
      </c>
      <c r="I140" s="118">
        <v>30.22</v>
      </c>
      <c r="J140" s="114" t="s">
        <v>48</v>
      </c>
      <c r="K140" s="120">
        <v>52.1</v>
      </c>
      <c r="L140" s="119">
        <v>1.8499999999999999E-2</v>
      </c>
      <c r="M140" s="120">
        <v>1.3</v>
      </c>
      <c r="N140" s="120">
        <v>1.68</v>
      </c>
      <c r="O140" s="118">
        <v>-12.43</v>
      </c>
      <c r="P140" s="119">
        <v>0.218</v>
      </c>
      <c r="Q140" s="114"/>
      <c r="R140" s="114"/>
    </row>
    <row r="141" spans="1:18" ht="15" customHeight="1" x14ac:dyDescent="0.55000000000000004">
      <c r="A141" s="114" t="s">
        <v>159</v>
      </c>
      <c r="B141" s="115" t="s">
        <v>160</v>
      </c>
      <c r="C141" s="116" t="s">
        <v>142</v>
      </c>
      <c r="D141" s="114" t="s">
        <v>43</v>
      </c>
      <c r="E141" s="114" t="s">
        <v>98</v>
      </c>
      <c r="F141" s="114" t="s">
        <v>132</v>
      </c>
      <c r="G141" s="117">
        <v>42405</v>
      </c>
      <c r="H141" s="118">
        <v>35.06</v>
      </c>
      <c r="I141" s="118">
        <v>26.9</v>
      </c>
      <c r="J141" s="119">
        <v>0.76729999999999998</v>
      </c>
      <c r="K141" s="120">
        <v>15.03</v>
      </c>
      <c r="L141" s="119">
        <v>3.8699999999999998E-2</v>
      </c>
      <c r="M141" s="120">
        <v>1.3</v>
      </c>
      <c r="N141" s="120">
        <v>3.35</v>
      </c>
      <c r="O141" s="118">
        <v>4.33</v>
      </c>
      <c r="P141" s="119">
        <v>3.2599999999999997E-2</v>
      </c>
      <c r="Q141" s="120">
        <v>6</v>
      </c>
      <c r="R141" s="118">
        <v>23.16</v>
      </c>
    </row>
    <row r="142" spans="1:18" ht="15" customHeight="1" x14ac:dyDescent="0.55000000000000004">
      <c r="A142" s="114" t="s">
        <v>161</v>
      </c>
      <c r="B142" s="115" t="s">
        <v>162</v>
      </c>
      <c r="C142" s="116" t="s">
        <v>142</v>
      </c>
      <c r="D142" s="114" t="s">
        <v>43</v>
      </c>
      <c r="E142" s="114" t="s">
        <v>98</v>
      </c>
      <c r="F142" s="114" t="s">
        <v>132</v>
      </c>
      <c r="G142" s="117">
        <v>42402</v>
      </c>
      <c r="H142" s="118">
        <v>28.69</v>
      </c>
      <c r="I142" s="118">
        <v>24.55</v>
      </c>
      <c r="J142" s="119">
        <v>0.85570000000000002</v>
      </c>
      <c r="K142" s="120">
        <v>13.2</v>
      </c>
      <c r="L142" s="119">
        <v>2.93E-2</v>
      </c>
      <c r="M142" s="120">
        <v>1.3</v>
      </c>
      <c r="N142" s="120">
        <v>1.52</v>
      </c>
      <c r="O142" s="118">
        <v>-20.93</v>
      </c>
      <c r="P142" s="119">
        <v>2.35E-2</v>
      </c>
      <c r="Q142" s="120">
        <v>12</v>
      </c>
      <c r="R142" s="118">
        <v>21.59</v>
      </c>
    </row>
    <row r="143" spans="1:18" ht="15" customHeight="1" x14ac:dyDescent="0.55000000000000004">
      <c r="A143" s="114" t="s">
        <v>231</v>
      </c>
      <c r="B143" s="115" t="s">
        <v>232</v>
      </c>
      <c r="C143" s="116" t="s">
        <v>215</v>
      </c>
      <c r="D143" s="114" t="s">
        <v>59</v>
      </c>
      <c r="E143" s="114" t="s">
        <v>98</v>
      </c>
      <c r="F143" s="114" t="s">
        <v>150</v>
      </c>
      <c r="G143" s="117">
        <v>42348</v>
      </c>
      <c r="H143" s="118">
        <v>111.71</v>
      </c>
      <c r="I143" s="118">
        <v>86.07</v>
      </c>
      <c r="J143" s="119">
        <v>0.77049999999999996</v>
      </c>
      <c r="K143" s="120">
        <v>25.77</v>
      </c>
      <c r="L143" s="119">
        <v>1.2200000000000001E-2</v>
      </c>
      <c r="M143" s="120">
        <v>0.8</v>
      </c>
      <c r="N143" s="120">
        <v>1.81</v>
      </c>
      <c r="O143" s="118">
        <v>-4.8099999999999996</v>
      </c>
      <c r="P143" s="119">
        <v>8.6300000000000002E-2</v>
      </c>
      <c r="Q143" s="120">
        <v>20</v>
      </c>
      <c r="R143" s="118">
        <v>37.770000000000003</v>
      </c>
    </row>
    <row r="144" spans="1:18" ht="15" customHeight="1" x14ac:dyDescent="0.55000000000000004">
      <c r="A144" s="114" t="s">
        <v>375</v>
      </c>
      <c r="B144" s="115" t="s">
        <v>376</v>
      </c>
      <c r="C144" s="116" t="s">
        <v>304</v>
      </c>
      <c r="D144" s="114" t="s">
        <v>249</v>
      </c>
      <c r="E144" s="114" t="s">
        <v>80</v>
      </c>
      <c r="F144" s="114" t="s">
        <v>377</v>
      </c>
      <c r="G144" s="117">
        <v>42412</v>
      </c>
      <c r="H144" s="118">
        <v>0</v>
      </c>
      <c r="I144" s="118">
        <v>31.15</v>
      </c>
      <c r="J144" s="114" t="s">
        <v>48</v>
      </c>
      <c r="K144" s="120">
        <v>22.09</v>
      </c>
      <c r="L144" s="119">
        <v>6.93E-2</v>
      </c>
      <c r="M144" s="120">
        <v>0.8</v>
      </c>
      <c r="N144" s="120">
        <v>0.57999999999999996</v>
      </c>
      <c r="O144" s="118">
        <v>-55.66</v>
      </c>
      <c r="P144" s="119">
        <v>6.8000000000000005E-2</v>
      </c>
      <c r="Q144" s="120">
        <v>0</v>
      </c>
      <c r="R144" s="118">
        <v>34.369999999999997</v>
      </c>
    </row>
    <row r="145" spans="1:18" ht="15" customHeight="1" x14ac:dyDescent="0.55000000000000004">
      <c r="A145" s="114" t="s">
        <v>233</v>
      </c>
      <c r="B145" s="115" t="s">
        <v>234</v>
      </c>
      <c r="C145" s="116" t="s">
        <v>215</v>
      </c>
      <c r="D145" s="114" t="s">
        <v>59</v>
      </c>
      <c r="E145" s="114" t="s">
        <v>44</v>
      </c>
      <c r="F145" s="114" t="s">
        <v>60</v>
      </c>
      <c r="G145" s="117">
        <v>42397</v>
      </c>
      <c r="H145" s="118">
        <v>86.56</v>
      </c>
      <c r="I145" s="118">
        <v>57.68</v>
      </c>
      <c r="J145" s="119">
        <v>0.66639999999999999</v>
      </c>
      <c r="K145" s="120">
        <v>25.64</v>
      </c>
      <c r="L145" s="114" t="s">
        <v>48</v>
      </c>
      <c r="M145" s="120">
        <v>1.3</v>
      </c>
      <c r="N145" s="120">
        <v>3.4</v>
      </c>
      <c r="O145" s="118">
        <v>6.2</v>
      </c>
      <c r="P145" s="119">
        <v>8.5699999999999998E-2</v>
      </c>
      <c r="Q145" s="120">
        <v>0</v>
      </c>
      <c r="R145" s="118">
        <v>29.59</v>
      </c>
    </row>
    <row r="146" spans="1:18" ht="15" customHeight="1" x14ac:dyDescent="0.55000000000000004">
      <c r="A146" s="114" t="s">
        <v>866</v>
      </c>
      <c r="B146" s="115" t="s">
        <v>867</v>
      </c>
      <c r="C146" s="116" t="s">
        <v>829</v>
      </c>
      <c r="D146" s="114" t="s">
        <v>249</v>
      </c>
      <c r="E146" s="114" t="s">
        <v>98</v>
      </c>
      <c r="F146" s="114" t="s">
        <v>412</v>
      </c>
      <c r="G146" s="117">
        <v>42002</v>
      </c>
      <c r="H146" s="118">
        <v>83.51</v>
      </c>
      <c r="I146" s="118">
        <v>74.03</v>
      </c>
      <c r="J146" s="119">
        <v>0.88649999999999995</v>
      </c>
      <c r="K146" s="120">
        <v>32.61</v>
      </c>
      <c r="L146" s="114" t="s">
        <v>48</v>
      </c>
      <c r="M146" s="120">
        <v>1.9</v>
      </c>
      <c r="N146" s="120">
        <v>0.99</v>
      </c>
      <c r="O146" s="118">
        <v>-10.199999999999999</v>
      </c>
      <c r="P146" s="119">
        <v>0.1206</v>
      </c>
      <c r="Q146" s="114"/>
      <c r="R146" s="114"/>
    </row>
    <row r="147" spans="1:18" ht="15" customHeight="1" x14ac:dyDescent="0.55000000000000004">
      <c r="A147" s="114" t="s">
        <v>512</v>
      </c>
      <c r="B147" s="115" t="s">
        <v>513</v>
      </c>
      <c r="C147" s="116" t="s">
        <v>479</v>
      </c>
      <c r="D147" s="114" t="s">
        <v>249</v>
      </c>
      <c r="E147" s="114" t="s">
        <v>44</v>
      </c>
      <c r="F147" s="114" t="s">
        <v>250</v>
      </c>
      <c r="G147" s="117">
        <v>42029</v>
      </c>
      <c r="H147" s="118">
        <v>45.56</v>
      </c>
      <c r="I147" s="118">
        <v>32.909999999999997</v>
      </c>
      <c r="J147" s="119">
        <v>0.72230000000000005</v>
      </c>
      <c r="K147" s="120">
        <v>27.89</v>
      </c>
      <c r="L147" s="119">
        <v>1.8200000000000001E-2</v>
      </c>
      <c r="M147" s="120">
        <v>1</v>
      </c>
      <c r="N147" s="120">
        <v>1.1000000000000001</v>
      </c>
      <c r="O147" s="118">
        <v>-36.22</v>
      </c>
      <c r="P147" s="119">
        <v>9.69E-2</v>
      </c>
      <c r="Q147" s="114"/>
      <c r="R147" s="114"/>
    </row>
    <row r="148" spans="1:18" ht="15" customHeight="1" x14ac:dyDescent="0.55000000000000004">
      <c r="A148" s="114" t="s">
        <v>868</v>
      </c>
      <c r="B148" s="115" t="s">
        <v>869</v>
      </c>
      <c r="C148" s="116" t="s">
        <v>829</v>
      </c>
      <c r="D148" s="114" t="s">
        <v>249</v>
      </c>
      <c r="E148" s="114" t="s">
        <v>98</v>
      </c>
      <c r="F148" s="114" t="s">
        <v>412</v>
      </c>
      <c r="G148" s="117">
        <v>42349</v>
      </c>
      <c r="H148" s="118">
        <v>108.55</v>
      </c>
      <c r="I148" s="118">
        <v>98.63</v>
      </c>
      <c r="J148" s="119">
        <v>0.90859999999999996</v>
      </c>
      <c r="K148" s="120">
        <v>24.78</v>
      </c>
      <c r="L148" s="119">
        <v>1.72E-2</v>
      </c>
      <c r="M148" s="120">
        <v>0.9</v>
      </c>
      <c r="N148" s="120">
        <v>1.43</v>
      </c>
      <c r="O148" s="118">
        <v>-21.8</v>
      </c>
      <c r="P148" s="119">
        <v>8.14E-2</v>
      </c>
      <c r="Q148" s="120">
        <v>12</v>
      </c>
      <c r="R148" s="118">
        <v>60.18</v>
      </c>
    </row>
    <row r="149" spans="1:18" ht="15" customHeight="1" x14ac:dyDescent="0.55000000000000004">
      <c r="A149" s="114" t="s">
        <v>870</v>
      </c>
      <c r="B149" s="115" t="s">
        <v>871</v>
      </c>
      <c r="C149" s="116" t="s">
        <v>829</v>
      </c>
      <c r="D149" s="114" t="s">
        <v>249</v>
      </c>
      <c r="E149" s="114" t="s">
        <v>80</v>
      </c>
      <c r="F149" s="114" t="s">
        <v>377</v>
      </c>
      <c r="G149" s="117">
        <v>42157</v>
      </c>
      <c r="H149" s="118">
        <v>33.69</v>
      </c>
      <c r="I149" s="118">
        <v>87.15</v>
      </c>
      <c r="J149" s="119">
        <v>2.5868000000000002</v>
      </c>
      <c r="K149" s="120">
        <v>10.1</v>
      </c>
      <c r="L149" s="119">
        <v>4.9099999999999998E-2</v>
      </c>
      <c r="M149" s="120">
        <v>1.1000000000000001</v>
      </c>
      <c r="N149" s="120">
        <v>1.4</v>
      </c>
      <c r="O149" s="118">
        <v>-38.65</v>
      </c>
      <c r="P149" s="119">
        <v>8.0000000000000002E-3</v>
      </c>
      <c r="Q149" s="114"/>
      <c r="R149" s="114"/>
    </row>
    <row r="150" spans="1:18" ht="15" customHeight="1" x14ac:dyDescent="0.55000000000000004">
      <c r="A150" s="114" t="s">
        <v>43</v>
      </c>
      <c r="B150" s="115" t="s">
        <v>746</v>
      </c>
      <c r="C150" s="116" t="s">
        <v>43</v>
      </c>
      <c r="D150" s="114" t="s">
        <v>249</v>
      </c>
      <c r="E150" s="114" t="s">
        <v>80</v>
      </c>
      <c r="F150" s="114" t="s">
        <v>377</v>
      </c>
      <c r="G150" s="117">
        <v>42045</v>
      </c>
      <c r="H150" s="118">
        <v>6.48</v>
      </c>
      <c r="I150" s="118">
        <v>68.77</v>
      </c>
      <c r="J150" s="119">
        <v>10.6127</v>
      </c>
      <c r="K150" s="120">
        <v>25.1</v>
      </c>
      <c r="L150" s="119">
        <v>4.07E-2</v>
      </c>
      <c r="M150" s="120">
        <v>0.1</v>
      </c>
      <c r="N150" s="120">
        <v>0.72</v>
      </c>
      <c r="O150" s="118">
        <v>-60.31</v>
      </c>
      <c r="P150" s="119">
        <v>8.3000000000000004E-2</v>
      </c>
      <c r="Q150" s="114"/>
      <c r="R150" s="114"/>
    </row>
    <row r="151" spans="1:18" ht="15" customHeight="1" x14ac:dyDescent="0.55000000000000004">
      <c r="A151" s="114" t="s">
        <v>514</v>
      </c>
      <c r="B151" s="115" t="s">
        <v>515</v>
      </c>
      <c r="C151" s="116" t="s">
        <v>479</v>
      </c>
      <c r="D151" s="114" t="s">
        <v>249</v>
      </c>
      <c r="E151" s="114" t="s">
        <v>44</v>
      </c>
      <c r="F151" s="114" t="s">
        <v>250</v>
      </c>
      <c r="G151" s="117">
        <v>42053</v>
      </c>
      <c r="H151" s="118">
        <v>152.33000000000001</v>
      </c>
      <c r="I151" s="118">
        <v>48.55</v>
      </c>
      <c r="J151" s="119">
        <v>0.31869999999999998</v>
      </c>
      <c r="K151" s="120">
        <v>12.26</v>
      </c>
      <c r="L151" s="119">
        <v>1.11E-2</v>
      </c>
      <c r="M151" s="120">
        <v>1.1000000000000001</v>
      </c>
      <c r="N151" s="120">
        <v>0.74</v>
      </c>
      <c r="O151" s="118">
        <v>-39.43</v>
      </c>
      <c r="P151" s="119">
        <v>1.8800000000000001E-2</v>
      </c>
      <c r="Q151" s="114"/>
      <c r="R151" s="114"/>
    </row>
    <row r="152" spans="1:18" ht="15" customHeight="1" x14ac:dyDescent="0.55000000000000004">
      <c r="A152" s="114" t="s">
        <v>23</v>
      </c>
      <c r="B152" s="115" t="s">
        <v>657</v>
      </c>
      <c r="C152" s="116" t="s">
        <v>634</v>
      </c>
      <c r="D152" s="114" t="s">
        <v>59</v>
      </c>
      <c r="E152" s="114" t="s">
        <v>80</v>
      </c>
      <c r="F152" s="114" t="s">
        <v>81</v>
      </c>
      <c r="G152" s="117">
        <v>42426</v>
      </c>
      <c r="H152" s="118">
        <v>33.74</v>
      </c>
      <c r="I152" s="118">
        <v>62.17</v>
      </c>
      <c r="J152" s="119">
        <v>1.8426</v>
      </c>
      <c r="K152" s="120">
        <v>19.37</v>
      </c>
      <c r="L152" s="119">
        <v>2.4400000000000002E-2</v>
      </c>
      <c r="M152" s="120">
        <v>1.8</v>
      </c>
      <c r="N152" s="120">
        <v>1.71</v>
      </c>
      <c r="O152" s="118">
        <v>-14.92</v>
      </c>
      <c r="P152" s="119">
        <v>5.4300000000000001E-2</v>
      </c>
      <c r="Q152" s="120">
        <v>0</v>
      </c>
      <c r="R152" s="118">
        <v>27.03</v>
      </c>
    </row>
    <row r="153" spans="1:18" ht="15" customHeight="1" x14ac:dyDescent="0.55000000000000004">
      <c r="A153" s="114" t="s">
        <v>235</v>
      </c>
      <c r="B153" s="115" t="s">
        <v>236</v>
      </c>
      <c r="C153" s="116" t="s">
        <v>215</v>
      </c>
      <c r="D153" s="114" t="s">
        <v>43</v>
      </c>
      <c r="E153" s="114" t="s">
        <v>80</v>
      </c>
      <c r="F153" s="114" t="s">
        <v>145</v>
      </c>
      <c r="G153" s="117">
        <v>42373</v>
      </c>
      <c r="H153" s="118">
        <v>66.67</v>
      </c>
      <c r="I153" s="118">
        <v>81.88</v>
      </c>
      <c r="J153" s="119">
        <v>1.2281</v>
      </c>
      <c r="K153" s="120">
        <v>13.21</v>
      </c>
      <c r="L153" s="119">
        <v>2.93E-2</v>
      </c>
      <c r="M153" s="120">
        <v>1.1000000000000001</v>
      </c>
      <c r="N153" s="120">
        <v>2.06</v>
      </c>
      <c r="O153" s="118">
        <v>-27.96</v>
      </c>
      <c r="P153" s="119">
        <v>2.35E-2</v>
      </c>
      <c r="Q153" s="120">
        <v>13</v>
      </c>
      <c r="R153" s="118">
        <v>41.08</v>
      </c>
    </row>
    <row r="154" spans="1:18" ht="15" customHeight="1" x14ac:dyDescent="0.55000000000000004">
      <c r="A154" s="114" t="s">
        <v>46</v>
      </c>
      <c r="B154" s="115" t="s">
        <v>47</v>
      </c>
      <c r="C154" s="116" t="s">
        <v>42</v>
      </c>
      <c r="D154" s="114" t="s">
        <v>43</v>
      </c>
      <c r="E154" s="114" t="s">
        <v>44</v>
      </c>
      <c r="F154" s="114" t="s">
        <v>45</v>
      </c>
      <c r="G154" s="117">
        <v>42409</v>
      </c>
      <c r="H154" s="118">
        <v>123.2</v>
      </c>
      <c r="I154" s="118">
        <v>48.09</v>
      </c>
      <c r="J154" s="119">
        <v>0.39029999999999998</v>
      </c>
      <c r="K154" s="120">
        <v>9.6</v>
      </c>
      <c r="L154" s="119">
        <v>2.3300000000000001E-2</v>
      </c>
      <c r="M154" s="120">
        <v>1.1000000000000001</v>
      </c>
      <c r="N154" s="114" t="s">
        <v>48</v>
      </c>
      <c r="O154" s="114" t="s">
        <v>48</v>
      </c>
      <c r="P154" s="119">
        <v>5.4999999999999997E-3</v>
      </c>
      <c r="Q154" s="120">
        <v>6</v>
      </c>
      <c r="R154" s="118">
        <v>56.05</v>
      </c>
    </row>
    <row r="155" spans="1:18" ht="15" customHeight="1" x14ac:dyDescent="0.55000000000000004">
      <c r="A155" s="114" t="s">
        <v>516</v>
      </c>
      <c r="B155" s="115" t="s">
        <v>517</v>
      </c>
      <c r="C155" s="116" t="s">
        <v>479</v>
      </c>
      <c r="D155" s="114" t="s">
        <v>249</v>
      </c>
      <c r="E155" s="114" t="s">
        <v>44</v>
      </c>
      <c r="F155" s="114" t="s">
        <v>250</v>
      </c>
      <c r="G155" s="117">
        <v>42095</v>
      </c>
      <c r="H155" s="118">
        <v>115.35</v>
      </c>
      <c r="I155" s="118">
        <v>74.790000000000006</v>
      </c>
      <c r="J155" s="119">
        <v>0.64839999999999998</v>
      </c>
      <c r="K155" s="120">
        <v>24.93</v>
      </c>
      <c r="L155" s="119">
        <v>1.18E-2</v>
      </c>
      <c r="M155" s="120">
        <v>0.4</v>
      </c>
      <c r="N155" s="120">
        <v>1.78</v>
      </c>
      <c r="O155" s="118">
        <v>-6.51</v>
      </c>
      <c r="P155" s="119">
        <v>8.2199999999999995E-2</v>
      </c>
      <c r="Q155" s="114"/>
      <c r="R155" s="114"/>
    </row>
    <row r="156" spans="1:18" ht="15" customHeight="1" x14ac:dyDescent="0.55000000000000004">
      <c r="A156" s="114" t="s">
        <v>163</v>
      </c>
      <c r="B156" s="115" t="s">
        <v>164</v>
      </c>
      <c r="C156" s="116" t="s">
        <v>142</v>
      </c>
      <c r="D156" s="114" t="s">
        <v>43</v>
      </c>
      <c r="E156" s="114" t="s">
        <v>98</v>
      </c>
      <c r="F156" s="114" t="s">
        <v>132</v>
      </c>
      <c r="G156" s="117">
        <v>42395</v>
      </c>
      <c r="H156" s="118">
        <v>77.040000000000006</v>
      </c>
      <c r="I156" s="118">
        <v>67.930000000000007</v>
      </c>
      <c r="J156" s="119">
        <v>0.88170000000000004</v>
      </c>
      <c r="K156" s="120">
        <v>15.58</v>
      </c>
      <c r="L156" s="119">
        <v>2.3599999999999999E-2</v>
      </c>
      <c r="M156" s="120">
        <v>0.7</v>
      </c>
      <c r="N156" s="120">
        <v>1.45</v>
      </c>
      <c r="O156" s="118">
        <v>-26.46</v>
      </c>
      <c r="P156" s="119">
        <v>3.5400000000000001E-2</v>
      </c>
      <c r="Q156" s="120">
        <v>1</v>
      </c>
      <c r="R156" s="118">
        <v>58.3</v>
      </c>
    </row>
    <row r="157" spans="1:18" ht="15" customHeight="1" x14ac:dyDescent="0.55000000000000004">
      <c r="A157" s="114" t="s">
        <v>308</v>
      </c>
      <c r="B157" s="115" t="s">
        <v>309</v>
      </c>
      <c r="C157" s="116" t="s">
        <v>297</v>
      </c>
      <c r="D157" s="114" t="s">
        <v>59</v>
      </c>
      <c r="E157" s="114" t="s">
        <v>44</v>
      </c>
      <c r="F157" s="114" t="s">
        <v>60</v>
      </c>
      <c r="G157" s="117">
        <v>42396</v>
      </c>
      <c r="H157" s="118">
        <v>74.819999999999993</v>
      </c>
      <c r="I157" s="118">
        <v>28.05</v>
      </c>
      <c r="J157" s="119">
        <v>0.37490000000000001</v>
      </c>
      <c r="K157" s="120">
        <v>14.46</v>
      </c>
      <c r="L157" s="119">
        <v>1.14E-2</v>
      </c>
      <c r="M157" s="120">
        <v>1.4</v>
      </c>
      <c r="N157" s="120">
        <v>6.76</v>
      </c>
      <c r="O157" s="118">
        <v>11.52</v>
      </c>
      <c r="P157" s="119">
        <v>2.98E-2</v>
      </c>
      <c r="Q157" s="120">
        <v>3</v>
      </c>
      <c r="R157" s="118">
        <v>28.66</v>
      </c>
    </row>
    <row r="158" spans="1:18" ht="15" customHeight="1" x14ac:dyDescent="0.55000000000000004">
      <c r="A158" s="114" t="s">
        <v>747</v>
      </c>
      <c r="B158" s="115" t="s">
        <v>748</v>
      </c>
      <c r="C158" s="116" t="s">
        <v>43</v>
      </c>
      <c r="D158" s="114" t="s">
        <v>249</v>
      </c>
      <c r="E158" s="114" t="s">
        <v>98</v>
      </c>
      <c r="F158" s="114" t="s">
        <v>412</v>
      </c>
      <c r="G158" s="117">
        <v>42320</v>
      </c>
      <c r="H158" s="118">
        <v>109.81</v>
      </c>
      <c r="I158" s="118">
        <v>90.49</v>
      </c>
      <c r="J158" s="119">
        <v>0.82410000000000005</v>
      </c>
      <c r="K158" s="120">
        <v>22.4</v>
      </c>
      <c r="L158" s="119">
        <v>7.1000000000000004E-3</v>
      </c>
      <c r="M158" s="120">
        <v>1.2</v>
      </c>
      <c r="N158" s="120">
        <v>1.04</v>
      </c>
      <c r="O158" s="118">
        <v>-25.28</v>
      </c>
      <c r="P158" s="119">
        <v>6.9500000000000006E-2</v>
      </c>
      <c r="Q158" s="120">
        <v>2</v>
      </c>
      <c r="R158" s="118">
        <v>61.42</v>
      </c>
    </row>
    <row r="159" spans="1:18" ht="15" customHeight="1" x14ac:dyDescent="0.55000000000000004">
      <c r="A159" s="114" t="s">
        <v>518</v>
      </c>
      <c r="B159" s="115" t="s">
        <v>519</v>
      </c>
      <c r="C159" s="116" t="s">
        <v>479</v>
      </c>
      <c r="D159" s="114" t="s">
        <v>249</v>
      </c>
      <c r="E159" s="114" t="s">
        <v>44</v>
      </c>
      <c r="F159" s="114" t="s">
        <v>250</v>
      </c>
      <c r="G159" s="117">
        <v>42348</v>
      </c>
      <c r="H159" s="118">
        <v>157.29</v>
      </c>
      <c r="I159" s="118">
        <v>97.05</v>
      </c>
      <c r="J159" s="119">
        <v>0.61699999999999999</v>
      </c>
      <c r="K159" s="120">
        <v>20.96</v>
      </c>
      <c r="L159" s="119">
        <v>1.46E-2</v>
      </c>
      <c r="M159" s="120">
        <v>1.4</v>
      </c>
      <c r="N159" s="120">
        <v>1.03</v>
      </c>
      <c r="O159" s="118">
        <v>-15.88</v>
      </c>
      <c r="P159" s="119">
        <v>6.2300000000000001E-2</v>
      </c>
      <c r="Q159" s="120">
        <v>6</v>
      </c>
      <c r="R159" s="118">
        <v>58.42</v>
      </c>
    </row>
    <row r="160" spans="1:18" ht="15" customHeight="1" x14ac:dyDescent="0.55000000000000004">
      <c r="A160" s="114" t="s">
        <v>520</v>
      </c>
      <c r="B160" s="115" t="s">
        <v>521</v>
      </c>
      <c r="C160" s="116" t="s">
        <v>479</v>
      </c>
      <c r="D160" s="114" t="s">
        <v>249</v>
      </c>
      <c r="E160" s="114" t="s">
        <v>44</v>
      </c>
      <c r="F160" s="114" t="s">
        <v>250</v>
      </c>
      <c r="G160" s="117">
        <v>42157</v>
      </c>
      <c r="H160" s="118">
        <v>50.66</v>
      </c>
      <c r="I160" s="118">
        <v>26.78</v>
      </c>
      <c r="J160" s="119">
        <v>0.52859999999999996</v>
      </c>
      <c r="K160" s="120">
        <v>17.28</v>
      </c>
      <c r="L160" s="114" t="s">
        <v>48</v>
      </c>
      <c r="M160" s="120">
        <v>1.5</v>
      </c>
      <c r="N160" s="120">
        <v>1.4</v>
      </c>
      <c r="O160" s="118">
        <v>-12.03</v>
      </c>
      <c r="P160" s="119">
        <v>4.3900000000000002E-2</v>
      </c>
      <c r="Q160" s="114"/>
      <c r="R160" s="114"/>
    </row>
    <row r="161" spans="1:18" ht="15" customHeight="1" x14ac:dyDescent="0.55000000000000004">
      <c r="A161" s="114" t="s">
        <v>522</v>
      </c>
      <c r="B161" s="115" t="s">
        <v>521</v>
      </c>
      <c r="C161" s="116" t="s">
        <v>479</v>
      </c>
      <c r="D161" s="114" t="s">
        <v>249</v>
      </c>
      <c r="E161" s="114" t="s">
        <v>44</v>
      </c>
      <c r="F161" s="114" t="s">
        <v>250</v>
      </c>
      <c r="G161" s="117">
        <v>42157</v>
      </c>
      <c r="H161" s="118">
        <v>50.66</v>
      </c>
      <c r="I161" s="118">
        <v>26</v>
      </c>
      <c r="J161" s="119">
        <v>0.51319999999999999</v>
      </c>
      <c r="K161" s="120">
        <v>16.77</v>
      </c>
      <c r="L161" s="114" t="s">
        <v>48</v>
      </c>
      <c r="M161" s="120">
        <v>1.3</v>
      </c>
      <c r="N161" s="120">
        <v>1.4</v>
      </c>
      <c r="O161" s="118">
        <v>-12.03</v>
      </c>
      <c r="P161" s="119">
        <v>4.1399999999999999E-2</v>
      </c>
      <c r="Q161" s="114"/>
      <c r="R161" s="114"/>
    </row>
    <row r="162" spans="1:18" ht="15" customHeight="1" x14ac:dyDescent="0.55000000000000004">
      <c r="A162" s="114" t="s">
        <v>523</v>
      </c>
      <c r="B162" s="115" t="s">
        <v>524</v>
      </c>
      <c r="C162" s="116" t="s">
        <v>479</v>
      </c>
      <c r="D162" s="114" t="s">
        <v>249</v>
      </c>
      <c r="E162" s="114" t="s">
        <v>44</v>
      </c>
      <c r="F162" s="114" t="s">
        <v>250</v>
      </c>
      <c r="G162" s="117">
        <v>42170</v>
      </c>
      <c r="H162" s="118">
        <v>167.4</v>
      </c>
      <c r="I162" s="118">
        <v>68.94</v>
      </c>
      <c r="J162" s="119">
        <v>0.4118</v>
      </c>
      <c r="K162" s="120">
        <v>15.85</v>
      </c>
      <c r="L162" s="119">
        <v>1.6799999999999999E-2</v>
      </c>
      <c r="M162" s="120">
        <v>1.4</v>
      </c>
      <c r="N162" s="120">
        <v>1.49</v>
      </c>
      <c r="O162" s="118">
        <v>-8.99</v>
      </c>
      <c r="P162" s="119">
        <v>3.6700000000000003E-2</v>
      </c>
      <c r="Q162" s="114"/>
      <c r="R162" s="114"/>
    </row>
    <row r="163" spans="1:18" ht="15" customHeight="1" x14ac:dyDescent="0.55000000000000004">
      <c r="A163" s="114" t="s">
        <v>749</v>
      </c>
      <c r="B163" s="115" t="s">
        <v>750</v>
      </c>
      <c r="C163" s="116" t="s">
        <v>43</v>
      </c>
      <c r="D163" s="114" t="s">
        <v>249</v>
      </c>
      <c r="E163" s="114" t="s">
        <v>80</v>
      </c>
      <c r="F163" s="114" t="s">
        <v>377</v>
      </c>
      <c r="G163" s="117">
        <v>42292</v>
      </c>
      <c r="H163" s="118">
        <v>48.76</v>
      </c>
      <c r="I163" s="118">
        <v>78.77</v>
      </c>
      <c r="J163" s="119">
        <v>1.6154999999999999</v>
      </c>
      <c r="K163" s="120">
        <v>36.299999999999997</v>
      </c>
      <c r="L163" s="114" t="s">
        <v>48</v>
      </c>
      <c r="M163" s="120">
        <v>0.3</v>
      </c>
      <c r="N163" s="120">
        <v>2.1800000000000002</v>
      </c>
      <c r="O163" s="118">
        <v>-37.299999999999997</v>
      </c>
      <c r="P163" s="119">
        <v>0.13900000000000001</v>
      </c>
      <c r="Q163" s="120">
        <v>0</v>
      </c>
      <c r="R163" s="118">
        <v>20.47</v>
      </c>
    </row>
    <row r="164" spans="1:18" ht="15" customHeight="1" x14ac:dyDescent="0.55000000000000004">
      <c r="A164" s="114" t="s">
        <v>872</v>
      </c>
      <c r="B164" s="115" t="s">
        <v>873</v>
      </c>
      <c r="C164" s="116" t="s">
        <v>829</v>
      </c>
      <c r="D164" s="114" t="s">
        <v>249</v>
      </c>
      <c r="E164" s="114" t="s">
        <v>98</v>
      </c>
      <c r="F164" s="114" t="s">
        <v>412</v>
      </c>
      <c r="G164" s="117">
        <v>42251</v>
      </c>
      <c r="H164" s="118">
        <v>92.11</v>
      </c>
      <c r="I164" s="118">
        <v>99.66</v>
      </c>
      <c r="J164" s="119">
        <v>1.0820000000000001</v>
      </c>
      <c r="K164" s="120">
        <v>15.55</v>
      </c>
      <c r="L164" s="119">
        <v>1.9400000000000001E-2</v>
      </c>
      <c r="M164" s="120">
        <v>1.3</v>
      </c>
      <c r="N164" s="120">
        <v>0.65</v>
      </c>
      <c r="O164" s="118">
        <v>-70.099999999999994</v>
      </c>
      <c r="P164" s="119">
        <v>3.5200000000000002E-2</v>
      </c>
      <c r="Q164" s="120">
        <v>9</v>
      </c>
      <c r="R164" s="114" t="s">
        <v>48</v>
      </c>
    </row>
    <row r="165" spans="1:18" ht="15" customHeight="1" x14ac:dyDescent="0.55000000000000004">
      <c r="A165" s="114" t="s">
        <v>1065</v>
      </c>
      <c r="B165" s="115" t="s">
        <v>1066</v>
      </c>
      <c r="C165" s="116" t="s">
        <v>98</v>
      </c>
      <c r="D165" s="114" t="s">
        <v>249</v>
      </c>
      <c r="E165" s="114" t="s">
        <v>80</v>
      </c>
      <c r="F165" s="114" t="s">
        <v>377</v>
      </c>
      <c r="G165" s="117">
        <v>42317</v>
      </c>
      <c r="H165" s="118">
        <v>0</v>
      </c>
      <c r="I165" s="118">
        <v>1.78</v>
      </c>
      <c r="J165" s="114" t="s">
        <v>48</v>
      </c>
      <c r="K165" s="114" t="s">
        <v>48</v>
      </c>
      <c r="L165" s="114" t="s">
        <v>48</v>
      </c>
      <c r="M165" s="120">
        <v>2.7</v>
      </c>
      <c r="N165" s="120">
        <v>1.46</v>
      </c>
      <c r="O165" s="118">
        <v>-15.82</v>
      </c>
      <c r="P165" s="119">
        <v>-7.8100000000000003E-2</v>
      </c>
      <c r="Q165" s="120">
        <v>2</v>
      </c>
      <c r="R165" s="114" t="s">
        <v>48</v>
      </c>
    </row>
    <row r="166" spans="1:18" ht="15" customHeight="1" x14ac:dyDescent="0.55000000000000004">
      <c r="A166" s="114" t="s">
        <v>145</v>
      </c>
      <c r="B166" s="115" t="s">
        <v>751</v>
      </c>
      <c r="C166" s="116" t="s">
        <v>43</v>
      </c>
      <c r="D166" s="114" t="s">
        <v>249</v>
      </c>
      <c r="E166" s="114" t="s">
        <v>80</v>
      </c>
      <c r="F166" s="114" t="s">
        <v>377</v>
      </c>
      <c r="G166" s="117">
        <v>42062</v>
      </c>
      <c r="H166" s="118">
        <v>0</v>
      </c>
      <c r="I166" s="118">
        <v>21.17</v>
      </c>
      <c r="J166" s="114" t="s">
        <v>48</v>
      </c>
      <c r="K166" s="120">
        <v>4.8</v>
      </c>
      <c r="L166" s="114" t="s">
        <v>48</v>
      </c>
      <c r="M166" s="120">
        <v>1.4</v>
      </c>
      <c r="N166" s="120">
        <v>1.05</v>
      </c>
      <c r="O166" s="118">
        <v>-19.45</v>
      </c>
      <c r="P166" s="119">
        <v>-1.8499999999999999E-2</v>
      </c>
      <c r="Q166" s="114"/>
      <c r="R166" s="114"/>
    </row>
    <row r="167" spans="1:18" ht="15" customHeight="1" x14ac:dyDescent="0.55000000000000004">
      <c r="A167" s="114" t="s">
        <v>49</v>
      </c>
      <c r="B167" s="115" t="s">
        <v>50</v>
      </c>
      <c r="C167" s="116" t="s">
        <v>42</v>
      </c>
      <c r="D167" s="114" t="s">
        <v>43</v>
      </c>
      <c r="E167" s="114" t="s">
        <v>44</v>
      </c>
      <c r="F167" s="114" t="s">
        <v>45</v>
      </c>
      <c r="G167" s="117">
        <v>42349</v>
      </c>
      <c r="H167" s="118">
        <v>106.53</v>
      </c>
      <c r="I167" s="118">
        <v>62.56</v>
      </c>
      <c r="J167" s="119">
        <v>0.58730000000000004</v>
      </c>
      <c r="K167" s="120">
        <v>12.34</v>
      </c>
      <c r="L167" s="119">
        <v>2.69E-2</v>
      </c>
      <c r="M167" s="120">
        <v>1.4</v>
      </c>
      <c r="N167" s="120">
        <v>1.69</v>
      </c>
      <c r="O167" s="118">
        <v>-13.4</v>
      </c>
      <c r="P167" s="119">
        <v>1.9199999999999998E-2</v>
      </c>
      <c r="Q167" s="120">
        <v>20</v>
      </c>
      <c r="R167" s="118">
        <v>52.73</v>
      </c>
    </row>
    <row r="168" spans="1:18" ht="15" customHeight="1" x14ac:dyDescent="0.55000000000000004">
      <c r="A168" s="114" t="s">
        <v>310</v>
      </c>
      <c r="B168" s="115" t="s">
        <v>311</v>
      </c>
      <c r="C168" s="116" t="s">
        <v>297</v>
      </c>
      <c r="D168" s="114" t="s">
        <v>43</v>
      </c>
      <c r="E168" s="114" t="s">
        <v>44</v>
      </c>
      <c r="F168" s="114" t="s">
        <v>45</v>
      </c>
      <c r="G168" s="117">
        <v>42397</v>
      </c>
      <c r="H168" s="118">
        <v>115.94</v>
      </c>
      <c r="I168" s="118">
        <v>49.62</v>
      </c>
      <c r="J168" s="119">
        <v>0.42799999999999999</v>
      </c>
      <c r="K168" s="120">
        <v>16.489999999999998</v>
      </c>
      <c r="L168" s="119">
        <v>3.7100000000000001E-2</v>
      </c>
      <c r="M168" s="120">
        <v>1.7</v>
      </c>
      <c r="N168" s="120">
        <v>1.88</v>
      </c>
      <c r="O168" s="118">
        <v>-16.55</v>
      </c>
      <c r="P168" s="119">
        <v>3.9899999999999998E-2</v>
      </c>
      <c r="Q168" s="120">
        <v>5</v>
      </c>
      <c r="R168" s="118">
        <v>38.94</v>
      </c>
    </row>
    <row r="169" spans="1:18" ht="15" customHeight="1" x14ac:dyDescent="0.55000000000000004">
      <c r="A169" s="114" t="s">
        <v>525</v>
      </c>
      <c r="B169" s="115" t="s">
        <v>526</v>
      </c>
      <c r="C169" s="116" t="s">
        <v>479</v>
      </c>
      <c r="D169" s="114" t="s">
        <v>249</v>
      </c>
      <c r="E169" s="114" t="s">
        <v>98</v>
      </c>
      <c r="F169" s="114" t="s">
        <v>412</v>
      </c>
      <c r="G169" s="117">
        <v>42258</v>
      </c>
      <c r="H169" s="118">
        <v>112.4</v>
      </c>
      <c r="I169" s="118">
        <v>91.98</v>
      </c>
      <c r="J169" s="119">
        <v>0.81830000000000003</v>
      </c>
      <c r="K169" s="120">
        <v>26.97</v>
      </c>
      <c r="L169" s="119">
        <v>2.3E-2</v>
      </c>
      <c r="M169" s="120">
        <v>0.4</v>
      </c>
      <c r="N169" s="120">
        <v>0.81</v>
      </c>
      <c r="O169" s="118">
        <v>-24.67</v>
      </c>
      <c r="P169" s="119">
        <v>9.2399999999999996E-2</v>
      </c>
      <c r="Q169" s="120">
        <v>7</v>
      </c>
      <c r="R169" s="118">
        <v>31.96</v>
      </c>
    </row>
    <row r="170" spans="1:18" ht="15" customHeight="1" x14ac:dyDescent="0.55000000000000004">
      <c r="A170" s="114" t="s">
        <v>874</v>
      </c>
      <c r="B170" s="115" t="s">
        <v>875</v>
      </c>
      <c r="C170" s="116" t="s">
        <v>829</v>
      </c>
      <c r="D170" s="114" t="s">
        <v>249</v>
      </c>
      <c r="E170" s="114" t="s">
        <v>80</v>
      </c>
      <c r="F170" s="114" t="s">
        <v>377</v>
      </c>
      <c r="G170" s="117">
        <v>42272</v>
      </c>
      <c r="H170" s="118">
        <v>42.85</v>
      </c>
      <c r="I170" s="118">
        <v>64.680000000000007</v>
      </c>
      <c r="J170" s="119">
        <v>1.5095000000000001</v>
      </c>
      <c r="K170" s="120">
        <v>18.170000000000002</v>
      </c>
      <c r="L170" s="119">
        <v>3.09E-2</v>
      </c>
      <c r="M170" s="120">
        <v>0.5</v>
      </c>
      <c r="N170" s="120">
        <v>1.05</v>
      </c>
      <c r="O170" s="118">
        <v>-18.93</v>
      </c>
      <c r="P170" s="119">
        <v>4.8300000000000003E-2</v>
      </c>
      <c r="Q170" s="120">
        <v>0</v>
      </c>
      <c r="R170" s="114"/>
    </row>
    <row r="171" spans="1:18" ht="15" customHeight="1" x14ac:dyDescent="0.55000000000000004">
      <c r="A171" s="114" t="s">
        <v>876</v>
      </c>
      <c r="B171" s="115" t="s">
        <v>877</v>
      </c>
      <c r="C171" s="116" t="s">
        <v>829</v>
      </c>
      <c r="D171" s="114" t="s">
        <v>249</v>
      </c>
      <c r="E171" s="114" t="s">
        <v>80</v>
      </c>
      <c r="F171" s="114" t="s">
        <v>377</v>
      </c>
      <c r="G171" s="117">
        <v>42028</v>
      </c>
      <c r="H171" s="118">
        <v>41.96</v>
      </c>
      <c r="I171" s="118">
        <v>84.06</v>
      </c>
      <c r="J171" s="119">
        <v>2.0032999999999999</v>
      </c>
      <c r="K171" s="120">
        <v>21.23</v>
      </c>
      <c r="L171" s="119">
        <v>3.4700000000000002E-2</v>
      </c>
      <c r="M171" s="120">
        <v>0.2</v>
      </c>
      <c r="N171" s="120">
        <v>0.98</v>
      </c>
      <c r="O171" s="118">
        <v>-87.3</v>
      </c>
      <c r="P171" s="119">
        <v>6.3600000000000004E-2</v>
      </c>
      <c r="Q171" s="114"/>
      <c r="R171" s="114"/>
    </row>
    <row r="172" spans="1:18" ht="15" customHeight="1" x14ac:dyDescent="0.55000000000000004">
      <c r="A172" s="114" t="s">
        <v>378</v>
      </c>
      <c r="B172" s="115" t="s">
        <v>379</v>
      </c>
      <c r="C172" s="116" t="s">
        <v>304</v>
      </c>
      <c r="D172" s="114" t="s">
        <v>249</v>
      </c>
      <c r="E172" s="114" t="s">
        <v>80</v>
      </c>
      <c r="F172" s="114" t="s">
        <v>377</v>
      </c>
      <c r="G172" s="117">
        <v>42313</v>
      </c>
      <c r="H172" s="118">
        <v>39.36</v>
      </c>
      <c r="I172" s="118">
        <v>73.64</v>
      </c>
      <c r="J172" s="119">
        <v>1.8709</v>
      </c>
      <c r="K172" s="120">
        <v>20.86</v>
      </c>
      <c r="L172" s="119">
        <v>4.48E-2</v>
      </c>
      <c r="M172" s="120">
        <v>0</v>
      </c>
      <c r="N172" s="120">
        <v>1</v>
      </c>
      <c r="O172" s="118">
        <v>-100.28</v>
      </c>
      <c r="P172" s="119">
        <v>6.1800000000000001E-2</v>
      </c>
      <c r="Q172" s="120">
        <v>8</v>
      </c>
      <c r="R172" s="118">
        <v>73.73</v>
      </c>
    </row>
    <row r="173" spans="1:18" ht="15" customHeight="1" x14ac:dyDescent="0.55000000000000004">
      <c r="A173" s="114" t="s">
        <v>752</v>
      </c>
      <c r="B173" s="115" t="s">
        <v>753</v>
      </c>
      <c r="C173" s="116" t="s">
        <v>43</v>
      </c>
      <c r="D173" s="114" t="s">
        <v>249</v>
      </c>
      <c r="E173" s="114" t="s">
        <v>80</v>
      </c>
      <c r="F173" s="114" t="s">
        <v>377</v>
      </c>
      <c r="G173" s="117">
        <v>42321</v>
      </c>
      <c r="H173" s="118">
        <v>47.86</v>
      </c>
      <c r="I173" s="118">
        <v>68.180000000000007</v>
      </c>
      <c r="J173" s="119">
        <v>1.4246000000000001</v>
      </c>
      <c r="K173" s="120">
        <v>24.88</v>
      </c>
      <c r="L173" s="114" t="s">
        <v>48</v>
      </c>
      <c r="M173" s="120">
        <v>1.1000000000000001</v>
      </c>
      <c r="N173" s="120">
        <v>1.97</v>
      </c>
      <c r="O173" s="118">
        <v>-42.3</v>
      </c>
      <c r="P173" s="119">
        <v>8.1900000000000001E-2</v>
      </c>
      <c r="Q173" s="120">
        <v>0</v>
      </c>
      <c r="R173" s="118">
        <v>34.22</v>
      </c>
    </row>
    <row r="174" spans="1:18" ht="15" customHeight="1" x14ac:dyDescent="0.55000000000000004">
      <c r="A174" s="114" t="s">
        <v>527</v>
      </c>
      <c r="B174" s="115" t="s">
        <v>528</v>
      </c>
      <c r="C174" s="116" t="s">
        <v>479</v>
      </c>
      <c r="D174" s="114" t="s">
        <v>249</v>
      </c>
      <c r="E174" s="114" t="s">
        <v>44</v>
      </c>
      <c r="F174" s="114" t="s">
        <v>250</v>
      </c>
      <c r="G174" s="117">
        <v>42030</v>
      </c>
      <c r="H174" s="118">
        <v>83.74</v>
      </c>
      <c r="I174" s="118">
        <v>21.52</v>
      </c>
      <c r="J174" s="119">
        <v>0.25700000000000001</v>
      </c>
      <c r="K174" s="120">
        <v>5.9</v>
      </c>
      <c r="L174" s="119">
        <v>1.12E-2</v>
      </c>
      <c r="M174" s="120">
        <v>1.7</v>
      </c>
      <c r="N174" s="120">
        <v>1</v>
      </c>
      <c r="O174" s="118">
        <v>-55.75</v>
      </c>
      <c r="P174" s="119">
        <v>-1.2999999999999999E-2</v>
      </c>
      <c r="Q174" s="114"/>
      <c r="R174" s="114"/>
    </row>
    <row r="175" spans="1:18" ht="15" customHeight="1" x14ac:dyDescent="0.55000000000000004">
      <c r="A175" s="114" t="s">
        <v>1067</v>
      </c>
      <c r="B175" s="115" t="s">
        <v>1068</v>
      </c>
      <c r="C175" s="116" t="s">
        <v>98</v>
      </c>
      <c r="D175" s="114" t="s">
        <v>249</v>
      </c>
      <c r="E175" s="114" t="s">
        <v>80</v>
      </c>
      <c r="F175" s="114" t="s">
        <v>377</v>
      </c>
      <c r="G175" s="117">
        <v>42035</v>
      </c>
      <c r="H175" s="118">
        <v>32.01</v>
      </c>
      <c r="I175" s="118">
        <v>66.09</v>
      </c>
      <c r="J175" s="119">
        <v>2.0647000000000002</v>
      </c>
      <c r="K175" s="120">
        <v>79.63</v>
      </c>
      <c r="L175" s="114" t="s">
        <v>48</v>
      </c>
      <c r="M175" s="120">
        <v>0.7</v>
      </c>
      <c r="N175" s="120">
        <v>1.22</v>
      </c>
      <c r="O175" s="118">
        <v>0.85</v>
      </c>
      <c r="P175" s="119">
        <v>0.35560000000000003</v>
      </c>
      <c r="Q175" s="114"/>
      <c r="R175" s="114"/>
    </row>
    <row r="176" spans="1:18" ht="15" customHeight="1" x14ac:dyDescent="0.55000000000000004">
      <c r="A176" s="114" t="s">
        <v>754</v>
      </c>
      <c r="B176" s="115" t="s">
        <v>755</v>
      </c>
      <c r="C176" s="116" t="s">
        <v>43</v>
      </c>
      <c r="D176" s="114" t="s">
        <v>249</v>
      </c>
      <c r="E176" s="114" t="s">
        <v>80</v>
      </c>
      <c r="F176" s="114" t="s">
        <v>377</v>
      </c>
      <c r="G176" s="117">
        <v>42231</v>
      </c>
      <c r="H176" s="118">
        <v>2.2000000000000002</v>
      </c>
      <c r="I176" s="118">
        <v>23.72</v>
      </c>
      <c r="J176" s="119">
        <v>10.7818</v>
      </c>
      <c r="K176" s="120">
        <v>17.829999999999998</v>
      </c>
      <c r="L176" s="114" t="s">
        <v>48</v>
      </c>
      <c r="M176" s="120">
        <v>1.1000000000000001</v>
      </c>
      <c r="N176" s="120">
        <v>1.67</v>
      </c>
      <c r="O176" s="118">
        <v>2.2000000000000002</v>
      </c>
      <c r="P176" s="119">
        <v>4.6699999999999998E-2</v>
      </c>
      <c r="Q176" s="120">
        <v>0</v>
      </c>
      <c r="R176" s="114"/>
    </row>
    <row r="177" spans="1:18" ht="15" customHeight="1" x14ac:dyDescent="0.55000000000000004">
      <c r="A177" s="114" t="s">
        <v>1069</v>
      </c>
      <c r="B177" s="115" t="s">
        <v>1070</v>
      </c>
      <c r="C177" s="116" t="s">
        <v>98</v>
      </c>
      <c r="D177" s="114" t="s">
        <v>249</v>
      </c>
      <c r="E177" s="114" t="s">
        <v>80</v>
      </c>
      <c r="F177" s="114" t="s">
        <v>377</v>
      </c>
      <c r="G177" s="117">
        <v>42056</v>
      </c>
      <c r="H177" s="118">
        <v>85.64</v>
      </c>
      <c r="I177" s="118">
        <v>104.68</v>
      </c>
      <c r="J177" s="119">
        <v>1.2222999999999999</v>
      </c>
      <c r="K177" s="120">
        <v>33.770000000000003</v>
      </c>
      <c r="L177" s="119">
        <v>1.34E-2</v>
      </c>
      <c r="M177" s="120">
        <v>0.8</v>
      </c>
      <c r="N177" s="120">
        <v>1.0900000000000001</v>
      </c>
      <c r="O177" s="118">
        <v>-23.28</v>
      </c>
      <c r="P177" s="119">
        <v>0.1263</v>
      </c>
      <c r="Q177" s="114"/>
      <c r="R177" s="114"/>
    </row>
    <row r="178" spans="1:18" ht="15" customHeight="1" x14ac:dyDescent="0.55000000000000004">
      <c r="A178" s="114" t="s">
        <v>878</v>
      </c>
      <c r="B178" s="115" t="s">
        <v>879</v>
      </c>
      <c r="C178" s="116" t="s">
        <v>829</v>
      </c>
      <c r="D178" s="114" t="s">
        <v>249</v>
      </c>
      <c r="E178" s="114" t="s">
        <v>80</v>
      </c>
      <c r="F178" s="114" t="s">
        <v>377</v>
      </c>
      <c r="G178" s="117">
        <v>42167</v>
      </c>
      <c r="H178" s="118">
        <v>37.68</v>
      </c>
      <c r="I178" s="118">
        <v>70.3</v>
      </c>
      <c r="J178" s="119">
        <v>1.8656999999999999</v>
      </c>
      <c r="K178" s="120">
        <v>18.75</v>
      </c>
      <c r="L178" s="119">
        <v>3.8100000000000002E-2</v>
      </c>
      <c r="M178" s="120">
        <v>-0.1</v>
      </c>
      <c r="N178" s="120">
        <v>1</v>
      </c>
      <c r="O178" s="118">
        <v>-94.65</v>
      </c>
      <c r="P178" s="119">
        <v>5.1200000000000002E-2</v>
      </c>
      <c r="Q178" s="114"/>
      <c r="R178" s="114"/>
    </row>
    <row r="179" spans="1:18" ht="15" customHeight="1" x14ac:dyDescent="0.55000000000000004">
      <c r="A179" s="114" t="s">
        <v>1071</v>
      </c>
      <c r="B179" s="115" t="s">
        <v>1072</v>
      </c>
      <c r="C179" s="116" t="s">
        <v>98</v>
      </c>
      <c r="D179" s="114" t="s">
        <v>249</v>
      </c>
      <c r="E179" s="114" t="s">
        <v>80</v>
      </c>
      <c r="F179" s="114" t="s">
        <v>377</v>
      </c>
      <c r="G179" s="117">
        <v>42098</v>
      </c>
      <c r="H179" s="118">
        <v>43.53</v>
      </c>
      <c r="I179" s="118">
        <v>107</v>
      </c>
      <c r="J179" s="119">
        <v>2.4581</v>
      </c>
      <c r="K179" s="120">
        <v>41.47</v>
      </c>
      <c r="L179" s="119">
        <v>1.23E-2</v>
      </c>
      <c r="M179" s="120">
        <v>0.9</v>
      </c>
      <c r="N179" s="120">
        <v>0.74</v>
      </c>
      <c r="O179" s="118">
        <v>-15.36</v>
      </c>
      <c r="P179" s="119">
        <v>0.16489999999999999</v>
      </c>
      <c r="Q179" s="114"/>
      <c r="R179" s="114"/>
    </row>
    <row r="180" spans="1:18" ht="15" customHeight="1" x14ac:dyDescent="0.55000000000000004">
      <c r="A180" s="114" t="s">
        <v>756</v>
      </c>
      <c r="B180" s="115" t="s">
        <v>757</v>
      </c>
      <c r="C180" s="116" t="s">
        <v>43</v>
      </c>
      <c r="D180" s="114" t="s">
        <v>249</v>
      </c>
      <c r="E180" s="114" t="s">
        <v>80</v>
      </c>
      <c r="F180" s="114" t="s">
        <v>377</v>
      </c>
      <c r="G180" s="117">
        <v>42134</v>
      </c>
      <c r="H180" s="118">
        <v>53.46</v>
      </c>
      <c r="I180" s="118">
        <v>66.97</v>
      </c>
      <c r="J180" s="119">
        <v>1.2526999999999999</v>
      </c>
      <c r="K180" s="120">
        <v>22.86</v>
      </c>
      <c r="L180" s="119">
        <v>2.87E-2</v>
      </c>
      <c r="M180" s="120">
        <v>0.2</v>
      </c>
      <c r="N180" s="120">
        <v>0.83</v>
      </c>
      <c r="O180" s="118">
        <v>-108.58</v>
      </c>
      <c r="P180" s="119">
        <v>7.1800000000000003E-2</v>
      </c>
      <c r="Q180" s="114"/>
      <c r="R180" s="114"/>
    </row>
    <row r="181" spans="1:18" ht="15" customHeight="1" x14ac:dyDescent="0.55000000000000004">
      <c r="A181" s="114" t="s">
        <v>380</v>
      </c>
      <c r="B181" s="115" t="s">
        <v>381</v>
      </c>
      <c r="C181" s="116" t="s">
        <v>304</v>
      </c>
      <c r="D181" s="114" t="s">
        <v>59</v>
      </c>
      <c r="E181" s="114" t="s">
        <v>98</v>
      </c>
      <c r="F181" s="114" t="s">
        <v>150</v>
      </c>
      <c r="G181" s="117">
        <v>42306</v>
      </c>
      <c r="H181" s="118">
        <v>96.51</v>
      </c>
      <c r="I181" s="118">
        <v>91.85</v>
      </c>
      <c r="J181" s="119">
        <v>0.95169999999999999</v>
      </c>
      <c r="K181" s="120">
        <v>31.78</v>
      </c>
      <c r="L181" s="119">
        <v>1.3100000000000001E-2</v>
      </c>
      <c r="M181" s="120">
        <v>1</v>
      </c>
      <c r="N181" s="120">
        <v>2.09</v>
      </c>
      <c r="O181" s="118">
        <v>-0.33</v>
      </c>
      <c r="P181" s="119">
        <v>0.1164</v>
      </c>
      <c r="Q181" s="120">
        <v>2</v>
      </c>
      <c r="R181" s="118">
        <v>25.92</v>
      </c>
    </row>
    <row r="182" spans="1:18" ht="15" customHeight="1" x14ac:dyDescent="0.55000000000000004">
      <c r="A182" s="114" t="s">
        <v>880</v>
      </c>
      <c r="B182" s="115" t="s">
        <v>881</v>
      </c>
      <c r="C182" s="116" t="s">
        <v>829</v>
      </c>
      <c r="D182" s="114" t="s">
        <v>249</v>
      </c>
      <c r="E182" s="114" t="s">
        <v>98</v>
      </c>
      <c r="F182" s="114" t="s">
        <v>412</v>
      </c>
      <c r="G182" s="117">
        <v>42270</v>
      </c>
      <c r="H182" s="118">
        <v>34.43</v>
      </c>
      <c r="I182" s="118">
        <v>26.28</v>
      </c>
      <c r="J182" s="119">
        <v>0.76329999999999998</v>
      </c>
      <c r="K182" s="120">
        <v>19.760000000000002</v>
      </c>
      <c r="L182" s="119">
        <v>1.7500000000000002E-2</v>
      </c>
      <c r="M182" s="120">
        <v>1.4</v>
      </c>
      <c r="N182" s="120">
        <v>1.1299999999999999</v>
      </c>
      <c r="O182" s="118">
        <v>-5.5</v>
      </c>
      <c r="P182" s="119">
        <v>5.6300000000000003E-2</v>
      </c>
      <c r="Q182" s="120">
        <v>3</v>
      </c>
      <c r="R182" s="118">
        <v>18.239999999999998</v>
      </c>
    </row>
    <row r="183" spans="1:18" ht="15" customHeight="1" x14ac:dyDescent="0.55000000000000004">
      <c r="A183" s="114" t="s">
        <v>312</v>
      </c>
      <c r="B183" s="115" t="s">
        <v>313</v>
      </c>
      <c r="C183" s="116" t="s">
        <v>297</v>
      </c>
      <c r="D183" s="114" t="s">
        <v>43</v>
      </c>
      <c r="E183" s="114" t="s">
        <v>44</v>
      </c>
      <c r="F183" s="114" t="s">
        <v>45</v>
      </c>
      <c r="G183" s="117">
        <v>42397</v>
      </c>
      <c r="H183" s="118">
        <v>202.72</v>
      </c>
      <c r="I183" s="118">
        <v>67.34</v>
      </c>
      <c r="J183" s="119">
        <v>0.3322</v>
      </c>
      <c r="K183" s="120">
        <v>12.09</v>
      </c>
      <c r="L183" s="119">
        <v>2.7300000000000001E-2</v>
      </c>
      <c r="M183" s="120">
        <v>1.7</v>
      </c>
      <c r="N183" s="120">
        <v>1.77</v>
      </c>
      <c r="O183" s="118">
        <v>-58.89</v>
      </c>
      <c r="P183" s="119">
        <v>1.7899999999999999E-2</v>
      </c>
      <c r="Q183" s="120">
        <v>6</v>
      </c>
      <c r="R183" s="118">
        <v>60.23</v>
      </c>
    </row>
    <row r="184" spans="1:18" ht="15" customHeight="1" x14ac:dyDescent="0.55000000000000004">
      <c r="A184" s="114" t="s">
        <v>382</v>
      </c>
      <c r="B184" s="115" t="s">
        <v>383</v>
      </c>
      <c r="C184" s="116" t="s">
        <v>304</v>
      </c>
      <c r="D184" s="114" t="s">
        <v>249</v>
      </c>
      <c r="E184" s="114" t="s">
        <v>80</v>
      </c>
      <c r="F184" s="114" t="s">
        <v>377</v>
      </c>
      <c r="G184" s="117">
        <v>42412</v>
      </c>
      <c r="H184" s="118">
        <v>38.39</v>
      </c>
      <c r="I184" s="118">
        <v>50.41</v>
      </c>
      <c r="J184" s="119">
        <v>1.3130999999999999</v>
      </c>
      <c r="K184" s="120">
        <v>15.85</v>
      </c>
      <c r="L184" s="119">
        <v>3.7699999999999997E-2</v>
      </c>
      <c r="M184" s="120">
        <v>1.2</v>
      </c>
      <c r="N184" s="120">
        <v>1.18</v>
      </c>
      <c r="O184" s="118">
        <v>-6.75</v>
      </c>
      <c r="P184" s="119">
        <v>3.6799999999999999E-2</v>
      </c>
      <c r="Q184" s="120">
        <v>20</v>
      </c>
      <c r="R184" s="118">
        <v>27.4</v>
      </c>
    </row>
    <row r="185" spans="1:18" ht="15" customHeight="1" x14ac:dyDescent="0.55000000000000004">
      <c r="A185" s="114" t="s">
        <v>1073</v>
      </c>
      <c r="B185" s="115" t="s">
        <v>1074</v>
      </c>
      <c r="C185" s="116" t="s">
        <v>98</v>
      </c>
      <c r="D185" s="114" t="s">
        <v>249</v>
      </c>
      <c r="E185" s="114" t="s">
        <v>80</v>
      </c>
      <c r="F185" s="114" t="s">
        <v>377</v>
      </c>
      <c r="G185" s="117">
        <v>42200</v>
      </c>
      <c r="H185" s="118">
        <v>0</v>
      </c>
      <c r="I185" s="118">
        <v>43.85</v>
      </c>
      <c r="J185" s="114" t="s">
        <v>48</v>
      </c>
      <c r="K185" s="114" t="s">
        <v>48</v>
      </c>
      <c r="L185" s="114" t="s">
        <v>48</v>
      </c>
      <c r="M185" s="120">
        <v>1.3</v>
      </c>
      <c r="N185" s="120">
        <v>1.55</v>
      </c>
      <c r="O185" s="118">
        <v>-26.46</v>
      </c>
      <c r="P185" s="119">
        <v>-0.16569999999999999</v>
      </c>
      <c r="Q185" s="114"/>
      <c r="R185" s="114"/>
    </row>
    <row r="186" spans="1:18" ht="15" customHeight="1" x14ac:dyDescent="0.55000000000000004">
      <c r="A186" s="114" t="s">
        <v>1075</v>
      </c>
      <c r="B186" s="115" t="s">
        <v>1076</v>
      </c>
      <c r="C186" s="116" t="s">
        <v>98</v>
      </c>
      <c r="D186" s="114" t="s">
        <v>249</v>
      </c>
      <c r="E186" s="114" t="s">
        <v>80</v>
      </c>
      <c r="F186" s="114" t="s">
        <v>377</v>
      </c>
      <c r="G186" s="117">
        <v>42156</v>
      </c>
      <c r="H186" s="118">
        <v>37.86</v>
      </c>
      <c r="I186" s="118">
        <v>67</v>
      </c>
      <c r="J186" s="119">
        <v>1.7697000000000001</v>
      </c>
      <c r="K186" s="120">
        <v>29.52</v>
      </c>
      <c r="L186" s="119">
        <v>0.01</v>
      </c>
      <c r="M186" s="120">
        <v>1.4</v>
      </c>
      <c r="N186" s="120">
        <v>1.55</v>
      </c>
      <c r="O186" s="118">
        <v>-22.81</v>
      </c>
      <c r="P186" s="119">
        <v>0.1051</v>
      </c>
      <c r="Q186" s="114"/>
      <c r="R186" s="114"/>
    </row>
    <row r="187" spans="1:18" ht="15" customHeight="1" x14ac:dyDescent="0.55000000000000004">
      <c r="A187" s="114" t="s">
        <v>384</v>
      </c>
      <c r="B187" s="115" t="s">
        <v>385</v>
      </c>
      <c r="C187" s="116" t="s">
        <v>304</v>
      </c>
      <c r="D187" s="114" t="s">
        <v>249</v>
      </c>
      <c r="E187" s="114" t="s">
        <v>44</v>
      </c>
      <c r="F187" s="114" t="s">
        <v>250</v>
      </c>
      <c r="G187" s="117">
        <v>42206</v>
      </c>
      <c r="H187" s="118">
        <v>37.090000000000003</v>
      </c>
      <c r="I187" s="118">
        <v>23.73</v>
      </c>
      <c r="J187" s="119">
        <v>0.63980000000000004</v>
      </c>
      <c r="K187" s="120">
        <v>17.84</v>
      </c>
      <c r="L187" s="119">
        <v>6.5699999999999995E-2</v>
      </c>
      <c r="M187" s="120">
        <v>0.9</v>
      </c>
      <c r="N187" s="120">
        <v>0.75</v>
      </c>
      <c r="O187" s="118">
        <v>-11.31</v>
      </c>
      <c r="P187" s="119">
        <v>4.6699999999999998E-2</v>
      </c>
      <c r="Q187" s="114"/>
      <c r="R187" s="114"/>
    </row>
    <row r="188" spans="1:18" ht="15" customHeight="1" x14ac:dyDescent="0.55000000000000004">
      <c r="A188" s="114" t="s">
        <v>758</v>
      </c>
      <c r="B188" s="115" t="s">
        <v>759</v>
      </c>
      <c r="C188" s="116" t="s">
        <v>43</v>
      </c>
      <c r="D188" s="114" t="s">
        <v>249</v>
      </c>
      <c r="E188" s="114" t="s">
        <v>80</v>
      </c>
      <c r="F188" s="114" t="s">
        <v>377</v>
      </c>
      <c r="G188" s="117">
        <v>42201</v>
      </c>
      <c r="H188" s="118">
        <v>163.38999999999999</v>
      </c>
      <c r="I188" s="118">
        <v>304.01</v>
      </c>
      <c r="J188" s="119">
        <v>1.8606</v>
      </c>
      <c r="K188" s="120">
        <v>71.7</v>
      </c>
      <c r="L188" s="119">
        <v>2.3E-2</v>
      </c>
      <c r="M188" s="120">
        <v>0.9</v>
      </c>
      <c r="N188" s="120">
        <v>2.16</v>
      </c>
      <c r="O188" s="118">
        <v>-72.13</v>
      </c>
      <c r="P188" s="119">
        <v>0.316</v>
      </c>
      <c r="Q188" s="114"/>
      <c r="R188" s="114"/>
    </row>
    <row r="189" spans="1:18" ht="15" customHeight="1" x14ac:dyDescent="0.55000000000000004">
      <c r="A189" s="114" t="s">
        <v>529</v>
      </c>
      <c r="B189" s="115" t="s">
        <v>530</v>
      </c>
      <c r="C189" s="116" t="s">
        <v>479</v>
      </c>
      <c r="D189" s="114" t="s">
        <v>249</v>
      </c>
      <c r="E189" s="114" t="s">
        <v>98</v>
      </c>
      <c r="F189" s="114" t="s">
        <v>412</v>
      </c>
      <c r="G189" s="117">
        <v>42172</v>
      </c>
      <c r="H189" s="118">
        <v>90.35</v>
      </c>
      <c r="I189" s="118">
        <v>70.02</v>
      </c>
      <c r="J189" s="119">
        <v>0.77500000000000002</v>
      </c>
      <c r="K189" s="120">
        <v>22.02</v>
      </c>
      <c r="L189" s="119">
        <v>3.1600000000000003E-2</v>
      </c>
      <c r="M189" s="120">
        <v>0.5</v>
      </c>
      <c r="N189" s="120">
        <v>0.31</v>
      </c>
      <c r="O189" s="118">
        <v>-32.590000000000003</v>
      </c>
      <c r="P189" s="119">
        <v>6.7599999999999993E-2</v>
      </c>
      <c r="Q189" s="114"/>
      <c r="R189" s="114"/>
    </row>
    <row r="190" spans="1:18" ht="15" customHeight="1" x14ac:dyDescent="0.55000000000000004">
      <c r="A190" s="114" t="s">
        <v>1077</v>
      </c>
      <c r="B190" s="115" t="s">
        <v>1078</v>
      </c>
      <c r="C190" s="116" t="s">
        <v>98</v>
      </c>
      <c r="D190" s="114" t="s">
        <v>249</v>
      </c>
      <c r="E190" s="114" t="s">
        <v>80</v>
      </c>
      <c r="F190" s="114" t="s">
        <v>377</v>
      </c>
      <c r="G190" s="117">
        <v>42133</v>
      </c>
      <c r="H190" s="118">
        <v>4.66</v>
      </c>
      <c r="I190" s="118">
        <v>58.95</v>
      </c>
      <c r="J190" s="119">
        <v>12.6502</v>
      </c>
      <c r="K190" s="120">
        <v>34.270000000000003</v>
      </c>
      <c r="L190" s="119">
        <v>2E-3</v>
      </c>
      <c r="M190" s="120">
        <v>0.8</v>
      </c>
      <c r="N190" s="120">
        <v>2.39</v>
      </c>
      <c r="O190" s="118">
        <v>-37.44</v>
      </c>
      <c r="P190" s="119">
        <v>0.12889999999999999</v>
      </c>
      <c r="Q190" s="114"/>
      <c r="R190" s="114"/>
    </row>
    <row r="191" spans="1:18" ht="15" customHeight="1" x14ac:dyDescent="0.55000000000000004">
      <c r="A191" s="114" t="s">
        <v>882</v>
      </c>
      <c r="B191" s="115" t="s">
        <v>883</v>
      </c>
      <c r="C191" s="116" t="s">
        <v>829</v>
      </c>
      <c r="D191" s="114" t="s">
        <v>249</v>
      </c>
      <c r="E191" s="114" t="s">
        <v>80</v>
      </c>
      <c r="F191" s="114" t="s">
        <v>377</v>
      </c>
      <c r="G191" s="117">
        <v>42202</v>
      </c>
      <c r="H191" s="118">
        <v>39.42</v>
      </c>
      <c r="I191" s="118">
        <v>54.34</v>
      </c>
      <c r="J191" s="119">
        <v>1.3785000000000001</v>
      </c>
      <c r="K191" s="120">
        <v>21.56</v>
      </c>
      <c r="L191" s="119">
        <v>3.2800000000000003E-2</v>
      </c>
      <c r="M191" s="120">
        <v>0.3</v>
      </c>
      <c r="N191" s="120">
        <v>0.9</v>
      </c>
      <c r="O191" s="118">
        <v>-53.53</v>
      </c>
      <c r="P191" s="119">
        <v>6.5299999999999997E-2</v>
      </c>
      <c r="Q191" s="114"/>
      <c r="R191" s="114"/>
    </row>
    <row r="192" spans="1:18" ht="15" customHeight="1" x14ac:dyDescent="0.55000000000000004">
      <c r="A192" s="114" t="s">
        <v>531</v>
      </c>
      <c r="B192" s="115" t="s">
        <v>532</v>
      </c>
      <c r="C192" s="116" t="s">
        <v>479</v>
      </c>
      <c r="D192" s="114" t="s">
        <v>249</v>
      </c>
      <c r="E192" s="114" t="s">
        <v>44</v>
      </c>
      <c r="F192" s="114" t="s">
        <v>250</v>
      </c>
      <c r="G192" s="117">
        <v>42213</v>
      </c>
      <c r="H192" s="118">
        <v>95.42</v>
      </c>
      <c r="I192" s="118">
        <v>71.19</v>
      </c>
      <c r="J192" s="119">
        <v>0.74609999999999999</v>
      </c>
      <c r="K192" s="120">
        <v>21.25</v>
      </c>
      <c r="L192" s="114" t="s">
        <v>48</v>
      </c>
      <c r="M192" s="120">
        <v>1.5</v>
      </c>
      <c r="N192" s="120">
        <v>0.62</v>
      </c>
      <c r="O192" s="118">
        <v>-30.09</v>
      </c>
      <c r="P192" s="119">
        <v>6.3799999999999996E-2</v>
      </c>
      <c r="Q192" s="114"/>
      <c r="R192" s="114"/>
    </row>
    <row r="193" spans="1:18" ht="15" customHeight="1" x14ac:dyDescent="0.55000000000000004">
      <c r="A193" s="114" t="s">
        <v>533</v>
      </c>
      <c r="B193" s="115" t="s">
        <v>534</v>
      </c>
      <c r="C193" s="116" t="s">
        <v>479</v>
      </c>
      <c r="D193" s="114" t="s">
        <v>249</v>
      </c>
      <c r="E193" s="114" t="s">
        <v>80</v>
      </c>
      <c r="F193" s="114" t="s">
        <v>377</v>
      </c>
      <c r="G193" s="117">
        <v>42286</v>
      </c>
      <c r="H193" s="118">
        <v>153.41</v>
      </c>
      <c r="I193" s="118">
        <v>218</v>
      </c>
      <c r="J193" s="119">
        <v>1.421</v>
      </c>
      <c r="K193" s="120">
        <v>54.77</v>
      </c>
      <c r="L193" s="119">
        <v>2.9399999999999999E-2</v>
      </c>
      <c r="M193" s="120">
        <v>0.7</v>
      </c>
      <c r="N193" s="120">
        <v>0.89</v>
      </c>
      <c r="O193" s="118">
        <v>-85.3</v>
      </c>
      <c r="P193" s="119">
        <v>0.23139999999999999</v>
      </c>
      <c r="Q193" s="120">
        <v>20</v>
      </c>
      <c r="R193" s="118">
        <v>115.6</v>
      </c>
    </row>
    <row r="194" spans="1:18" ht="15" customHeight="1" x14ac:dyDescent="0.55000000000000004">
      <c r="A194" s="114" t="s">
        <v>760</v>
      </c>
      <c r="B194" s="115" t="s">
        <v>761</v>
      </c>
      <c r="C194" s="116" t="s">
        <v>43</v>
      </c>
      <c r="D194" s="114" t="s">
        <v>249</v>
      </c>
      <c r="E194" s="114" t="s">
        <v>80</v>
      </c>
      <c r="F194" s="114" t="s">
        <v>377</v>
      </c>
      <c r="G194" s="117">
        <v>42206</v>
      </c>
      <c r="H194" s="118">
        <v>0</v>
      </c>
      <c r="I194" s="118">
        <v>9.59</v>
      </c>
      <c r="J194" s="114" t="s">
        <v>48</v>
      </c>
      <c r="K194" s="114" t="s">
        <v>48</v>
      </c>
      <c r="L194" s="119">
        <v>6.2600000000000003E-2</v>
      </c>
      <c r="M194" s="120">
        <v>1.7</v>
      </c>
      <c r="N194" s="120">
        <v>2.69</v>
      </c>
      <c r="O194" s="118">
        <v>-20.65</v>
      </c>
      <c r="P194" s="119">
        <v>-7.7499999999999999E-2</v>
      </c>
      <c r="Q194" s="114"/>
      <c r="R194" s="114"/>
    </row>
    <row r="195" spans="1:18" ht="15" customHeight="1" x14ac:dyDescent="0.55000000000000004">
      <c r="A195" s="114" t="s">
        <v>1079</v>
      </c>
      <c r="B195" s="115" t="s">
        <v>1080</v>
      </c>
      <c r="C195" s="116" t="s">
        <v>98</v>
      </c>
      <c r="D195" s="114" t="s">
        <v>249</v>
      </c>
      <c r="E195" s="114" t="s">
        <v>80</v>
      </c>
      <c r="F195" s="114" t="s">
        <v>377</v>
      </c>
      <c r="G195" s="117">
        <v>42030</v>
      </c>
      <c r="H195" s="118">
        <v>15.25</v>
      </c>
      <c r="I195" s="118">
        <v>24.99</v>
      </c>
      <c r="J195" s="119">
        <v>1.6387</v>
      </c>
      <c r="K195" s="120">
        <v>62.48</v>
      </c>
      <c r="L195" s="114" t="s">
        <v>48</v>
      </c>
      <c r="M195" s="120">
        <v>2</v>
      </c>
      <c r="N195" s="114" t="s">
        <v>48</v>
      </c>
      <c r="O195" s="114" t="s">
        <v>48</v>
      </c>
      <c r="P195" s="119">
        <v>0.26989999999999997</v>
      </c>
      <c r="Q195" s="114"/>
      <c r="R195" s="114"/>
    </row>
    <row r="196" spans="1:18" ht="15" customHeight="1" x14ac:dyDescent="0.55000000000000004">
      <c r="A196" s="114" t="s">
        <v>386</v>
      </c>
      <c r="B196" s="115" t="s">
        <v>387</v>
      </c>
      <c r="C196" s="116" t="s">
        <v>304</v>
      </c>
      <c r="D196" s="114" t="s">
        <v>249</v>
      </c>
      <c r="E196" s="114" t="s">
        <v>44</v>
      </c>
      <c r="F196" s="114" t="s">
        <v>250</v>
      </c>
      <c r="G196" s="117">
        <v>42143</v>
      </c>
      <c r="H196" s="118">
        <v>81.739999999999995</v>
      </c>
      <c r="I196" s="118">
        <v>57.94</v>
      </c>
      <c r="J196" s="119">
        <v>0.70879999999999999</v>
      </c>
      <c r="K196" s="120">
        <v>14.27</v>
      </c>
      <c r="L196" s="119">
        <v>3.9399999999999998E-2</v>
      </c>
      <c r="M196" s="120">
        <v>1.6</v>
      </c>
      <c r="N196" s="120">
        <v>1.4</v>
      </c>
      <c r="O196" s="118">
        <v>4.84</v>
      </c>
      <c r="P196" s="119">
        <v>2.8899999999999999E-2</v>
      </c>
      <c r="Q196" s="114"/>
      <c r="R196" s="114"/>
    </row>
    <row r="197" spans="1:18" ht="15" customHeight="1" x14ac:dyDescent="0.55000000000000004">
      <c r="A197" s="114" t="s">
        <v>762</v>
      </c>
      <c r="B197" s="115" t="s">
        <v>763</v>
      </c>
      <c r="C197" s="116" t="s">
        <v>43</v>
      </c>
      <c r="D197" s="114" t="s">
        <v>249</v>
      </c>
      <c r="E197" s="114" t="s">
        <v>80</v>
      </c>
      <c r="F197" s="114" t="s">
        <v>377</v>
      </c>
      <c r="G197" s="117">
        <v>42396</v>
      </c>
      <c r="H197" s="118">
        <v>0</v>
      </c>
      <c r="I197" s="118">
        <v>73.22</v>
      </c>
      <c r="J197" s="114" t="s">
        <v>48</v>
      </c>
      <c r="K197" s="120">
        <v>23.62</v>
      </c>
      <c r="L197" s="119">
        <v>4.6399999999999997E-2</v>
      </c>
      <c r="M197" s="120">
        <v>0.3</v>
      </c>
      <c r="N197" s="120">
        <v>1.19</v>
      </c>
      <c r="O197" s="118">
        <v>-177.32</v>
      </c>
      <c r="P197" s="119">
        <v>7.5600000000000001E-2</v>
      </c>
      <c r="Q197" s="120">
        <v>0</v>
      </c>
      <c r="R197" s="114" t="s">
        <v>48</v>
      </c>
    </row>
    <row r="198" spans="1:18" ht="15" customHeight="1" x14ac:dyDescent="0.55000000000000004">
      <c r="A198" s="114" t="s">
        <v>388</v>
      </c>
      <c r="B198" s="115" t="s">
        <v>389</v>
      </c>
      <c r="C198" s="116" t="s">
        <v>304</v>
      </c>
      <c r="D198" s="114" t="s">
        <v>59</v>
      </c>
      <c r="E198" s="114" t="s">
        <v>98</v>
      </c>
      <c r="F198" s="114" t="s">
        <v>150</v>
      </c>
      <c r="G198" s="117">
        <v>42409</v>
      </c>
      <c r="H198" s="118">
        <v>87.95</v>
      </c>
      <c r="I198" s="118">
        <v>88.29</v>
      </c>
      <c r="J198" s="119">
        <v>1.0039</v>
      </c>
      <c r="K198" s="120">
        <v>38.72</v>
      </c>
      <c r="L198" s="114" t="s">
        <v>48</v>
      </c>
      <c r="M198" s="120">
        <v>0.6</v>
      </c>
      <c r="N198" s="120">
        <v>4.03</v>
      </c>
      <c r="O198" s="118">
        <v>3.14</v>
      </c>
      <c r="P198" s="119">
        <v>0.15110000000000001</v>
      </c>
      <c r="Q198" s="120">
        <v>0</v>
      </c>
      <c r="R198" s="118">
        <v>23.29</v>
      </c>
    </row>
    <row r="199" spans="1:18" ht="15" customHeight="1" x14ac:dyDescent="0.55000000000000004">
      <c r="A199" s="114" t="s">
        <v>884</v>
      </c>
      <c r="B199" s="115" t="s">
        <v>885</v>
      </c>
      <c r="C199" s="116" t="s">
        <v>829</v>
      </c>
      <c r="D199" s="114" t="s">
        <v>249</v>
      </c>
      <c r="E199" s="114" t="s">
        <v>80</v>
      </c>
      <c r="F199" s="114" t="s">
        <v>377</v>
      </c>
      <c r="G199" s="117">
        <v>42064</v>
      </c>
      <c r="H199" s="118">
        <v>0</v>
      </c>
      <c r="I199" s="118">
        <v>32.31</v>
      </c>
      <c r="J199" s="114" t="s">
        <v>48</v>
      </c>
      <c r="K199" s="120">
        <v>14.69</v>
      </c>
      <c r="L199" s="119">
        <v>3.8399999999999997E-2</v>
      </c>
      <c r="M199" s="120">
        <v>0.1</v>
      </c>
      <c r="N199" s="120">
        <v>1.38</v>
      </c>
      <c r="O199" s="118">
        <v>-59.88</v>
      </c>
      <c r="P199" s="119">
        <v>3.09E-2</v>
      </c>
      <c r="Q199" s="114"/>
      <c r="R199" s="114"/>
    </row>
    <row r="200" spans="1:18" ht="15" customHeight="1" x14ac:dyDescent="0.55000000000000004">
      <c r="A200" s="114" t="s">
        <v>658</v>
      </c>
      <c r="B200" s="115" t="s">
        <v>659</v>
      </c>
      <c r="C200" s="116" t="s">
        <v>634</v>
      </c>
      <c r="D200" s="114" t="s">
        <v>59</v>
      </c>
      <c r="E200" s="114" t="s">
        <v>80</v>
      </c>
      <c r="F200" s="114" t="s">
        <v>81</v>
      </c>
      <c r="G200" s="117">
        <v>42373</v>
      </c>
      <c r="H200" s="118">
        <v>34.200000000000003</v>
      </c>
      <c r="I200" s="118">
        <v>46.18</v>
      </c>
      <c r="J200" s="119">
        <v>1.3503000000000001</v>
      </c>
      <c r="K200" s="120">
        <v>23.56</v>
      </c>
      <c r="L200" s="119">
        <v>1.5599999999999999E-2</v>
      </c>
      <c r="M200" s="120">
        <v>0.9</v>
      </c>
      <c r="N200" s="120">
        <v>2.34</v>
      </c>
      <c r="O200" s="118">
        <v>6.58</v>
      </c>
      <c r="P200" s="119">
        <v>7.5300000000000006E-2</v>
      </c>
      <c r="Q200" s="120">
        <v>20</v>
      </c>
      <c r="R200" s="118">
        <v>22.81</v>
      </c>
    </row>
    <row r="201" spans="1:18" ht="15" customHeight="1" x14ac:dyDescent="0.55000000000000004">
      <c r="A201" s="114" t="s">
        <v>535</v>
      </c>
      <c r="B201" s="115" t="s">
        <v>536</v>
      </c>
      <c r="C201" s="116" t="s">
        <v>479</v>
      </c>
      <c r="D201" s="114" t="s">
        <v>249</v>
      </c>
      <c r="E201" s="114" t="s">
        <v>44</v>
      </c>
      <c r="F201" s="114" t="s">
        <v>250</v>
      </c>
      <c r="G201" s="117">
        <v>42278</v>
      </c>
      <c r="H201" s="118">
        <v>144.58000000000001</v>
      </c>
      <c r="I201" s="118">
        <v>106.73</v>
      </c>
      <c r="J201" s="119">
        <v>0.73819999999999997</v>
      </c>
      <c r="K201" s="120">
        <v>28.39</v>
      </c>
      <c r="L201" s="119">
        <v>8.9999999999999993E-3</v>
      </c>
      <c r="M201" s="120">
        <v>0.8</v>
      </c>
      <c r="N201" s="120">
        <v>0.84</v>
      </c>
      <c r="O201" s="118">
        <v>-35.58</v>
      </c>
      <c r="P201" s="119">
        <v>9.9400000000000002E-2</v>
      </c>
      <c r="Q201" s="120">
        <v>3</v>
      </c>
      <c r="R201" s="118">
        <v>48.48</v>
      </c>
    </row>
    <row r="202" spans="1:18" ht="15" customHeight="1" x14ac:dyDescent="0.55000000000000004">
      <c r="A202" s="114" t="s">
        <v>98</v>
      </c>
      <c r="B202" s="115" t="s">
        <v>99</v>
      </c>
      <c r="C202" s="116" t="s">
        <v>79</v>
      </c>
      <c r="D202" s="114" t="s">
        <v>59</v>
      </c>
      <c r="E202" s="114" t="s">
        <v>44</v>
      </c>
      <c r="F202" s="114" t="s">
        <v>60</v>
      </c>
      <c r="G202" s="117">
        <v>42376</v>
      </c>
      <c r="H202" s="118">
        <v>24.52</v>
      </c>
      <c r="I202" s="118">
        <v>13.23</v>
      </c>
      <c r="J202" s="119">
        <v>0.53959999999999997</v>
      </c>
      <c r="K202" s="120">
        <v>8.27</v>
      </c>
      <c r="L202" s="119">
        <v>4.5400000000000003E-2</v>
      </c>
      <c r="M202" s="120">
        <v>1.4</v>
      </c>
      <c r="N202" s="120">
        <v>3.15</v>
      </c>
      <c r="O202" s="118">
        <v>-6.29</v>
      </c>
      <c r="P202" s="119">
        <v>-1.1999999999999999E-3</v>
      </c>
      <c r="Q202" s="120">
        <v>4</v>
      </c>
      <c r="R202" s="118">
        <v>15.6</v>
      </c>
    </row>
    <row r="203" spans="1:18" ht="15" customHeight="1" x14ac:dyDescent="0.55000000000000004">
      <c r="A203" s="114" t="s">
        <v>660</v>
      </c>
      <c r="B203" s="115" t="s">
        <v>661</v>
      </c>
      <c r="C203" s="116" t="s">
        <v>634</v>
      </c>
      <c r="D203" s="114" t="s">
        <v>59</v>
      </c>
      <c r="E203" s="114" t="s">
        <v>98</v>
      </c>
      <c r="F203" s="114" t="s">
        <v>150</v>
      </c>
      <c r="G203" s="117">
        <v>42335</v>
      </c>
      <c r="H203" s="118">
        <v>46.77</v>
      </c>
      <c r="I203" s="118">
        <v>46.5</v>
      </c>
      <c r="J203" s="119">
        <v>0.99419999999999997</v>
      </c>
      <c r="K203" s="120">
        <v>29.06</v>
      </c>
      <c r="L203" s="119">
        <v>2.58E-2</v>
      </c>
      <c r="M203" s="120">
        <v>0.8</v>
      </c>
      <c r="N203" s="120">
        <v>4.54</v>
      </c>
      <c r="O203" s="118">
        <v>3.31</v>
      </c>
      <c r="P203" s="119">
        <v>0.1028</v>
      </c>
      <c r="Q203" s="120">
        <v>18</v>
      </c>
      <c r="R203" s="118">
        <v>15.57</v>
      </c>
    </row>
    <row r="204" spans="1:18" ht="15" customHeight="1" x14ac:dyDescent="0.55000000000000004">
      <c r="A204" s="114" t="s">
        <v>390</v>
      </c>
      <c r="B204" s="115" t="s">
        <v>391</v>
      </c>
      <c r="C204" s="116" t="s">
        <v>304</v>
      </c>
      <c r="D204" s="114" t="s">
        <v>59</v>
      </c>
      <c r="E204" s="114" t="s">
        <v>80</v>
      </c>
      <c r="F204" s="114" t="s">
        <v>81</v>
      </c>
      <c r="G204" s="117">
        <v>42398</v>
      </c>
      <c r="H204" s="118">
        <v>55.09</v>
      </c>
      <c r="I204" s="118">
        <v>109.95</v>
      </c>
      <c r="J204" s="119">
        <v>1.9958</v>
      </c>
      <c r="K204" s="120">
        <v>76.89</v>
      </c>
      <c r="L204" s="114" t="s">
        <v>48</v>
      </c>
      <c r="M204" s="120">
        <v>0.8</v>
      </c>
      <c r="N204" s="120">
        <v>11.25</v>
      </c>
      <c r="O204" s="118">
        <v>5.85</v>
      </c>
      <c r="P204" s="119">
        <v>0.34189999999999998</v>
      </c>
      <c r="Q204" s="120">
        <v>0</v>
      </c>
      <c r="R204" s="118">
        <v>30.32</v>
      </c>
    </row>
    <row r="205" spans="1:18" ht="15" customHeight="1" x14ac:dyDescent="0.55000000000000004">
      <c r="A205" s="114" t="s">
        <v>1081</v>
      </c>
      <c r="B205" s="115" t="s">
        <v>1082</v>
      </c>
      <c r="C205" s="116" t="s">
        <v>98</v>
      </c>
      <c r="D205" s="114" t="s">
        <v>249</v>
      </c>
      <c r="E205" s="114" t="s">
        <v>80</v>
      </c>
      <c r="F205" s="114" t="s">
        <v>377</v>
      </c>
      <c r="G205" s="117">
        <v>42261</v>
      </c>
      <c r="H205" s="118">
        <v>0</v>
      </c>
      <c r="I205" s="118">
        <v>8.98</v>
      </c>
      <c r="J205" s="114" t="s">
        <v>48</v>
      </c>
      <c r="K205" s="114" t="s">
        <v>48</v>
      </c>
      <c r="L205" s="114" t="s">
        <v>48</v>
      </c>
      <c r="M205" s="120">
        <v>2.5</v>
      </c>
      <c r="N205" s="120">
        <v>1.84</v>
      </c>
      <c r="O205" s="118">
        <v>-30.29</v>
      </c>
      <c r="P205" s="119">
        <v>-0.13800000000000001</v>
      </c>
      <c r="Q205" s="120">
        <v>0</v>
      </c>
      <c r="R205" s="114" t="s">
        <v>48</v>
      </c>
    </row>
    <row r="206" spans="1:18" ht="15" customHeight="1" x14ac:dyDescent="0.55000000000000004">
      <c r="A206" s="114" t="s">
        <v>662</v>
      </c>
      <c r="B206" s="115" t="s">
        <v>663</v>
      </c>
      <c r="C206" s="116" t="s">
        <v>634</v>
      </c>
      <c r="D206" s="114" t="s">
        <v>59</v>
      </c>
      <c r="E206" s="114" t="s">
        <v>98</v>
      </c>
      <c r="F206" s="114" t="s">
        <v>150</v>
      </c>
      <c r="G206" s="117">
        <v>42335</v>
      </c>
      <c r="H206" s="118">
        <v>183.07</v>
      </c>
      <c r="I206" s="118">
        <v>142.27000000000001</v>
      </c>
      <c r="J206" s="119">
        <v>0.77710000000000001</v>
      </c>
      <c r="K206" s="120">
        <v>20.38</v>
      </c>
      <c r="L206" s="119">
        <v>7.0000000000000001E-3</v>
      </c>
      <c r="M206" s="120">
        <v>1.3</v>
      </c>
      <c r="N206" s="120">
        <v>1.83</v>
      </c>
      <c r="O206" s="118">
        <v>-39.369999999999997</v>
      </c>
      <c r="P206" s="119">
        <v>5.9400000000000001E-2</v>
      </c>
      <c r="Q206" s="120">
        <v>6</v>
      </c>
      <c r="R206" s="118">
        <v>105.49</v>
      </c>
    </row>
    <row r="207" spans="1:18" ht="15" customHeight="1" x14ac:dyDescent="0.55000000000000004">
      <c r="A207" s="114" t="s">
        <v>886</v>
      </c>
      <c r="B207" s="115" t="s">
        <v>887</v>
      </c>
      <c r="C207" s="116" t="s">
        <v>829</v>
      </c>
      <c r="D207" s="114" t="s">
        <v>249</v>
      </c>
      <c r="E207" s="114" t="s">
        <v>80</v>
      </c>
      <c r="F207" s="114" t="s">
        <v>377</v>
      </c>
      <c r="G207" s="117">
        <v>42134</v>
      </c>
      <c r="H207" s="118">
        <v>0</v>
      </c>
      <c r="I207" s="118">
        <v>33.71</v>
      </c>
      <c r="J207" s="114" t="s">
        <v>48</v>
      </c>
      <c r="K207" s="120">
        <v>20.94</v>
      </c>
      <c r="L207" s="119">
        <v>4.2700000000000002E-2</v>
      </c>
      <c r="M207" s="120">
        <v>0</v>
      </c>
      <c r="N207" s="120">
        <v>0.64</v>
      </c>
      <c r="O207" s="118">
        <v>-85.49</v>
      </c>
      <c r="P207" s="119">
        <v>6.2199999999999998E-2</v>
      </c>
      <c r="Q207" s="114"/>
      <c r="R207" s="114"/>
    </row>
    <row r="208" spans="1:18" ht="15" customHeight="1" x14ac:dyDescent="0.55000000000000004">
      <c r="A208" s="114" t="s">
        <v>537</v>
      </c>
      <c r="B208" s="115" t="s">
        <v>538</v>
      </c>
      <c r="C208" s="116" t="s">
        <v>479</v>
      </c>
      <c r="D208" s="114" t="s">
        <v>249</v>
      </c>
      <c r="E208" s="114" t="s">
        <v>44</v>
      </c>
      <c r="F208" s="114" t="s">
        <v>250</v>
      </c>
      <c r="G208" s="117">
        <v>42101</v>
      </c>
      <c r="H208" s="118">
        <v>173.69</v>
      </c>
      <c r="I208" s="118">
        <v>100.14</v>
      </c>
      <c r="J208" s="119">
        <v>0.57650000000000001</v>
      </c>
      <c r="K208" s="120">
        <v>22.2</v>
      </c>
      <c r="L208" s="114" t="s">
        <v>48</v>
      </c>
      <c r="M208" s="120">
        <v>1.9</v>
      </c>
      <c r="N208" s="120">
        <v>1.48</v>
      </c>
      <c r="O208" s="118">
        <v>1.98</v>
      </c>
      <c r="P208" s="119">
        <v>6.8500000000000005E-2</v>
      </c>
      <c r="Q208" s="114"/>
      <c r="R208" s="114"/>
    </row>
    <row r="209" spans="1:18" ht="15" customHeight="1" x14ac:dyDescent="0.55000000000000004">
      <c r="A209" s="114" t="s">
        <v>888</v>
      </c>
      <c r="B209" s="115" t="s">
        <v>889</v>
      </c>
      <c r="C209" s="116" t="s">
        <v>829</v>
      </c>
      <c r="D209" s="114" t="s">
        <v>249</v>
      </c>
      <c r="E209" s="114" t="s">
        <v>44</v>
      </c>
      <c r="F209" s="114" t="s">
        <v>250</v>
      </c>
      <c r="G209" s="117">
        <v>42135</v>
      </c>
      <c r="H209" s="118">
        <v>83.77</v>
      </c>
      <c r="I209" s="118">
        <v>59.92</v>
      </c>
      <c r="J209" s="119">
        <v>0.71530000000000005</v>
      </c>
      <c r="K209" s="120">
        <v>25.39</v>
      </c>
      <c r="L209" s="119">
        <v>1.7399999999999999E-2</v>
      </c>
      <c r="M209" s="120">
        <v>0.9</v>
      </c>
      <c r="N209" s="120">
        <v>1.47</v>
      </c>
      <c r="O209" s="118">
        <v>-19.32</v>
      </c>
      <c r="P209" s="119">
        <v>8.4400000000000003E-2</v>
      </c>
      <c r="Q209" s="114"/>
      <c r="R209" s="114"/>
    </row>
    <row r="210" spans="1:18" ht="15" customHeight="1" x14ac:dyDescent="0.55000000000000004">
      <c r="A210" s="114" t="s">
        <v>764</v>
      </c>
      <c r="B210" s="115" t="s">
        <v>765</v>
      </c>
      <c r="C210" s="116" t="s">
        <v>43</v>
      </c>
      <c r="D210" s="114" t="s">
        <v>249</v>
      </c>
      <c r="E210" s="114" t="s">
        <v>98</v>
      </c>
      <c r="F210" s="114" t="s">
        <v>412</v>
      </c>
      <c r="G210" s="117">
        <v>42157</v>
      </c>
      <c r="H210" s="118">
        <v>98.26</v>
      </c>
      <c r="I210" s="118">
        <v>97.28</v>
      </c>
      <c r="J210" s="119">
        <v>0.99</v>
      </c>
      <c r="K210" s="120">
        <v>33.090000000000003</v>
      </c>
      <c r="L210" s="114" t="s">
        <v>48</v>
      </c>
      <c r="M210" s="120">
        <v>1</v>
      </c>
      <c r="N210" s="120">
        <v>1</v>
      </c>
      <c r="O210" s="118">
        <v>-19.010000000000002</v>
      </c>
      <c r="P210" s="119">
        <v>0.1229</v>
      </c>
      <c r="Q210" s="114"/>
      <c r="R210" s="114"/>
    </row>
    <row r="211" spans="1:18" ht="15" customHeight="1" x14ac:dyDescent="0.55000000000000004">
      <c r="A211" s="114" t="s">
        <v>100</v>
      </c>
      <c r="B211" s="115" t="s">
        <v>101</v>
      </c>
      <c r="C211" s="116" t="s">
        <v>79</v>
      </c>
      <c r="D211" s="114" t="s">
        <v>59</v>
      </c>
      <c r="E211" s="114" t="s">
        <v>44</v>
      </c>
      <c r="F211" s="114" t="s">
        <v>60</v>
      </c>
      <c r="G211" s="117">
        <v>42374</v>
      </c>
      <c r="H211" s="118">
        <v>64.680000000000007</v>
      </c>
      <c r="I211" s="118">
        <v>16.489999999999998</v>
      </c>
      <c r="J211" s="119">
        <v>0.25490000000000002</v>
      </c>
      <c r="K211" s="120">
        <v>9.82</v>
      </c>
      <c r="L211" s="119">
        <v>3.15E-2</v>
      </c>
      <c r="M211" s="120">
        <v>1.3</v>
      </c>
      <c r="N211" s="114" t="s">
        <v>48</v>
      </c>
      <c r="O211" s="114" t="s">
        <v>48</v>
      </c>
      <c r="P211" s="119">
        <v>6.6E-3</v>
      </c>
      <c r="Q211" s="120">
        <v>5</v>
      </c>
      <c r="R211" s="118">
        <v>25.61</v>
      </c>
    </row>
    <row r="212" spans="1:18" ht="15" customHeight="1" x14ac:dyDescent="0.55000000000000004">
      <c r="A212" s="114" t="s">
        <v>664</v>
      </c>
      <c r="B212" s="115" t="s">
        <v>665</v>
      </c>
      <c r="C212" s="116" t="s">
        <v>634</v>
      </c>
      <c r="D212" s="114" t="s">
        <v>43</v>
      </c>
      <c r="E212" s="114" t="s">
        <v>80</v>
      </c>
      <c r="F212" s="114" t="s">
        <v>145</v>
      </c>
      <c r="G212" s="117">
        <v>42321</v>
      </c>
      <c r="H212" s="118">
        <v>14.46</v>
      </c>
      <c r="I212" s="118">
        <v>31.8</v>
      </c>
      <c r="J212" s="119">
        <v>2.1991999999999998</v>
      </c>
      <c r="K212" s="120">
        <v>21.78</v>
      </c>
      <c r="L212" s="119">
        <v>1.5100000000000001E-2</v>
      </c>
      <c r="M212" s="120">
        <v>0.6</v>
      </c>
      <c r="N212" s="120">
        <v>4.29</v>
      </c>
      <c r="O212" s="118">
        <v>4.3899999999999997</v>
      </c>
      <c r="P212" s="119">
        <v>6.6400000000000001E-2</v>
      </c>
      <c r="Q212" s="120">
        <v>5</v>
      </c>
      <c r="R212" s="118">
        <v>20.87</v>
      </c>
    </row>
    <row r="213" spans="1:18" ht="15" customHeight="1" x14ac:dyDescent="0.55000000000000004">
      <c r="A213" s="114" t="s">
        <v>237</v>
      </c>
      <c r="B213" s="115" t="s">
        <v>238</v>
      </c>
      <c r="C213" s="116" t="s">
        <v>215</v>
      </c>
      <c r="D213" s="114" t="s">
        <v>43</v>
      </c>
      <c r="E213" s="114" t="s">
        <v>98</v>
      </c>
      <c r="F213" s="114" t="s">
        <v>132</v>
      </c>
      <c r="G213" s="117">
        <v>42403</v>
      </c>
      <c r="H213" s="118">
        <v>45.53</v>
      </c>
      <c r="I213" s="118">
        <v>48.64</v>
      </c>
      <c r="J213" s="119">
        <v>1.0683</v>
      </c>
      <c r="K213" s="120">
        <v>13.62</v>
      </c>
      <c r="L213" s="119">
        <v>1.7299999999999999E-2</v>
      </c>
      <c r="M213" s="120">
        <v>1.7</v>
      </c>
      <c r="N213" s="120">
        <v>1.83</v>
      </c>
      <c r="O213" s="118">
        <v>4.74</v>
      </c>
      <c r="P213" s="119">
        <v>2.5600000000000001E-2</v>
      </c>
      <c r="Q213" s="120">
        <v>2</v>
      </c>
      <c r="R213" s="118">
        <v>43.8</v>
      </c>
    </row>
    <row r="214" spans="1:18" ht="15" customHeight="1" x14ac:dyDescent="0.55000000000000004">
      <c r="A214" s="114" t="s">
        <v>666</v>
      </c>
      <c r="B214" s="115" t="s">
        <v>667</v>
      </c>
      <c r="C214" s="116" t="s">
        <v>634</v>
      </c>
      <c r="D214" s="114" t="s">
        <v>59</v>
      </c>
      <c r="E214" s="114" t="s">
        <v>98</v>
      </c>
      <c r="F214" s="114" t="s">
        <v>150</v>
      </c>
      <c r="G214" s="117">
        <v>42327</v>
      </c>
      <c r="H214" s="118">
        <v>48.25</v>
      </c>
      <c r="I214" s="118">
        <v>43.12</v>
      </c>
      <c r="J214" s="119">
        <v>0.89370000000000005</v>
      </c>
      <c r="K214" s="120">
        <v>14.33</v>
      </c>
      <c r="L214" s="119">
        <v>1.7600000000000001E-2</v>
      </c>
      <c r="M214" s="120">
        <v>1.8</v>
      </c>
      <c r="N214" s="120">
        <v>2.02</v>
      </c>
      <c r="O214" s="118">
        <v>-6.16</v>
      </c>
      <c r="P214" s="119">
        <v>2.9100000000000001E-2</v>
      </c>
      <c r="Q214" s="120">
        <v>9</v>
      </c>
      <c r="R214" s="118">
        <v>26.12</v>
      </c>
    </row>
    <row r="215" spans="1:18" ht="15" customHeight="1" x14ac:dyDescent="0.55000000000000004">
      <c r="A215" s="114" t="s">
        <v>102</v>
      </c>
      <c r="B215" s="115" t="s">
        <v>103</v>
      </c>
      <c r="C215" s="116" t="s">
        <v>79</v>
      </c>
      <c r="D215" s="114" t="s">
        <v>43</v>
      </c>
      <c r="E215" s="114" t="s">
        <v>44</v>
      </c>
      <c r="F215" s="114" t="s">
        <v>45</v>
      </c>
      <c r="G215" s="117">
        <v>42398</v>
      </c>
      <c r="H215" s="118">
        <v>131.21</v>
      </c>
      <c r="I215" s="118">
        <v>38</v>
      </c>
      <c r="J215" s="119">
        <v>0.28960000000000002</v>
      </c>
      <c r="K215" s="120">
        <v>10.76</v>
      </c>
      <c r="L215" s="119">
        <v>1.7399999999999999E-2</v>
      </c>
      <c r="M215" s="120">
        <v>1.5</v>
      </c>
      <c r="N215" s="120">
        <v>2.23</v>
      </c>
      <c r="O215" s="118">
        <v>-8.15</v>
      </c>
      <c r="P215" s="119">
        <v>1.1299999999999999E-2</v>
      </c>
      <c r="Q215" s="120">
        <v>5</v>
      </c>
      <c r="R215" s="118">
        <v>45.2</v>
      </c>
    </row>
    <row r="216" spans="1:18" ht="15" customHeight="1" x14ac:dyDescent="0.55000000000000004">
      <c r="A216" s="114" t="s">
        <v>239</v>
      </c>
      <c r="B216" s="115" t="s">
        <v>240</v>
      </c>
      <c r="C216" s="116" t="s">
        <v>215</v>
      </c>
      <c r="D216" s="114" t="s">
        <v>59</v>
      </c>
      <c r="E216" s="114" t="s">
        <v>44</v>
      </c>
      <c r="F216" s="114" t="s">
        <v>60</v>
      </c>
      <c r="G216" s="117">
        <v>42416</v>
      </c>
      <c r="H216" s="118">
        <v>165.99</v>
      </c>
      <c r="I216" s="118">
        <v>49.23</v>
      </c>
      <c r="J216" s="119">
        <v>0.29659999999999997</v>
      </c>
      <c r="K216" s="120">
        <v>8.6999999999999993</v>
      </c>
      <c r="L216" s="114" t="s">
        <v>48</v>
      </c>
      <c r="M216" s="120">
        <v>1.9</v>
      </c>
      <c r="N216" s="120">
        <v>3.61</v>
      </c>
      <c r="O216" s="118">
        <v>3.73</v>
      </c>
      <c r="P216" s="119">
        <v>1E-3</v>
      </c>
      <c r="Q216" s="120">
        <v>0</v>
      </c>
      <c r="R216" s="118">
        <v>41.36</v>
      </c>
    </row>
    <row r="217" spans="1:18" ht="15" customHeight="1" x14ac:dyDescent="0.55000000000000004">
      <c r="A217" s="114" t="s">
        <v>165</v>
      </c>
      <c r="B217" s="115" t="s">
        <v>166</v>
      </c>
      <c r="C217" s="116" t="s">
        <v>142</v>
      </c>
      <c r="D217" s="114" t="s">
        <v>43</v>
      </c>
      <c r="E217" s="114" t="s">
        <v>44</v>
      </c>
      <c r="F217" s="114" t="s">
        <v>45</v>
      </c>
      <c r="G217" s="117">
        <v>42402</v>
      </c>
      <c r="H217" s="118">
        <v>93.68</v>
      </c>
      <c r="I217" s="118">
        <v>27.59</v>
      </c>
      <c r="J217" s="119">
        <v>0.29449999999999998</v>
      </c>
      <c r="K217" s="120">
        <v>11.35</v>
      </c>
      <c r="L217" s="119">
        <v>1.09E-2</v>
      </c>
      <c r="M217" s="120">
        <v>1.3</v>
      </c>
      <c r="N217" s="120">
        <v>2.17</v>
      </c>
      <c r="O217" s="118">
        <v>-8.7100000000000009</v>
      </c>
      <c r="P217" s="119">
        <v>1.43E-2</v>
      </c>
      <c r="Q217" s="120">
        <v>3</v>
      </c>
      <c r="R217" s="118">
        <v>16.84</v>
      </c>
    </row>
    <row r="218" spans="1:18" ht="15" customHeight="1" x14ac:dyDescent="0.55000000000000004">
      <c r="A218" s="114" t="s">
        <v>1083</v>
      </c>
      <c r="B218" s="115" t="s">
        <v>1084</v>
      </c>
      <c r="C218" s="116" t="s">
        <v>98</v>
      </c>
      <c r="D218" s="114" t="s">
        <v>249</v>
      </c>
      <c r="E218" s="114" t="s">
        <v>80</v>
      </c>
      <c r="F218" s="114" t="s">
        <v>377</v>
      </c>
      <c r="G218" s="117">
        <v>42311</v>
      </c>
      <c r="H218" s="118">
        <v>15.97</v>
      </c>
      <c r="I218" s="118">
        <v>69.14</v>
      </c>
      <c r="J218" s="119">
        <v>4.3293999999999997</v>
      </c>
      <c r="K218" s="120">
        <v>35.64</v>
      </c>
      <c r="L218" s="114" t="s">
        <v>48</v>
      </c>
      <c r="M218" s="120">
        <v>2</v>
      </c>
      <c r="N218" s="120">
        <v>3.65</v>
      </c>
      <c r="O218" s="118">
        <v>15.97</v>
      </c>
      <c r="P218" s="119">
        <v>0.13569999999999999</v>
      </c>
      <c r="Q218" s="120">
        <v>0</v>
      </c>
      <c r="R218" s="118">
        <v>34.770000000000003</v>
      </c>
    </row>
    <row r="219" spans="1:18" ht="15" customHeight="1" x14ac:dyDescent="0.55000000000000004">
      <c r="A219" s="114" t="s">
        <v>241</v>
      </c>
      <c r="B219" s="115" t="s">
        <v>242</v>
      </c>
      <c r="C219" s="116" t="s">
        <v>215</v>
      </c>
      <c r="D219" s="114" t="s">
        <v>59</v>
      </c>
      <c r="E219" s="114" t="s">
        <v>44</v>
      </c>
      <c r="F219" s="114" t="s">
        <v>60</v>
      </c>
      <c r="G219" s="117">
        <v>42319</v>
      </c>
      <c r="H219" s="118">
        <v>46.88</v>
      </c>
      <c r="I219" s="118">
        <v>25.77</v>
      </c>
      <c r="J219" s="119">
        <v>0.54969999999999997</v>
      </c>
      <c r="K219" s="120">
        <v>11.93</v>
      </c>
      <c r="L219" s="114" t="s">
        <v>48</v>
      </c>
      <c r="M219" s="120">
        <v>1.1000000000000001</v>
      </c>
      <c r="N219" s="120">
        <v>1.77</v>
      </c>
      <c r="O219" s="118">
        <v>-0.04</v>
      </c>
      <c r="P219" s="119">
        <v>1.72E-2</v>
      </c>
      <c r="Q219" s="120">
        <v>0</v>
      </c>
      <c r="R219" s="118">
        <v>21.26</v>
      </c>
    </row>
    <row r="220" spans="1:18" ht="15" customHeight="1" x14ac:dyDescent="0.55000000000000004">
      <c r="A220" s="114" t="s">
        <v>766</v>
      </c>
      <c r="B220" s="115" t="s">
        <v>767</v>
      </c>
      <c r="C220" s="116" t="s">
        <v>43</v>
      </c>
      <c r="D220" s="114" t="s">
        <v>249</v>
      </c>
      <c r="E220" s="114" t="s">
        <v>80</v>
      </c>
      <c r="F220" s="114" t="s">
        <v>377</v>
      </c>
      <c r="G220" s="117">
        <v>42324</v>
      </c>
      <c r="H220" s="118">
        <v>0</v>
      </c>
      <c r="I220" s="118">
        <v>5.63</v>
      </c>
      <c r="J220" s="114" t="s">
        <v>48</v>
      </c>
      <c r="K220" s="120">
        <v>563</v>
      </c>
      <c r="L220" s="119">
        <v>7.46E-2</v>
      </c>
      <c r="M220" s="120">
        <v>0.7</v>
      </c>
      <c r="N220" s="120">
        <v>7.14</v>
      </c>
      <c r="O220" s="118">
        <v>-9.74</v>
      </c>
      <c r="P220" s="119">
        <v>2.7725</v>
      </c>
      <c r="Q220" s="120">
        <v>1</v>
      </c>
      <c r="R220" s="114" t="s">
        <v>48</v>
      </c>
    </row>
    <row r="221" spans="1:18" ht="15" customHeight="1" x14ac:dyDescent="0.55000000000000004">
      <c r="A221" s="114" t="s">
        <v>768</v>
      </c>
      <c r="B221" s="115" t="s">
        <v>769</v>
      </c>
      <c r="C221" s="116" t="s">
        <v>43</v>
      </c>
      <c r="D221" s="114" t="s">
        <v>249</v>
      </c>
      <c r="E221" s="114" t="s">
        <v>80</v>
      </c>
      <c r="F221" s="114" t="s">
        <v>377</v>
      </c>
      <c r="G221" s="117">
        <v>42010</v>
      </c>
      <c r="H221" s="118">
        <v>20.93</v>
      </c>
      <c r="I221" s="118">
        <v>64.8</v>
      </c>
      <c r="J221" s="119">
        <v>3.0960000000000001</v>
      </c>
      <c r="K221" s="120">
        <v>23.23</v>
      </c>
      <c r="L221" s="119">
        <v>3.27E-2</v>
      </c>
      <c r="M221" s="120">
        <v>-0.1</v>
      </c>
      <c r="N221" s="120">
        <v>0.85</v>
      </c>
      <c r="O221" s="118">
        <v>-67.84</v>
      </c>
      <c r="P221" s="119">
        <v>7.3599999999999999E-2</v>
      </c>
      <c r="Q221" s="114"/>
      <c r="R221" s="114"/>
    </row>
    <row r="222" spans="1:18" ht="15" customHeight="1" x14ac:dyDescent="0.55000000000000004">
      <c r="A222" s="114" t="s">
        <v>770</v>
      </c>
      <c r="B222" s="115" t="s">
        <v>771</v>
      </c>
      <c r="C222" s="116" t="s">
        <v>43</v>
      </c>
      <c r="D222" s="114" t="s">
        <v>249</v>
      </c>
      <c r="E222" s="114" t="s">
        <v>80</v>
      </c>
      <c r="F222" s="114" t="s">
        <v>377</v>
      </c>
      <c r="G222" s="117">
        <v>42376</v>
      </c>
      <c r="H222" s="118">
        <v>59.45</v>
      </c>
      <c r="I222" s="118">
        <v>135.58000000000001</v>
      </c>
      <c r="J222" s="119">
        <v>2.2806000000000002</v>
      </c>
      <c r="K222" s="120">
        <v>20.51</v>
      </c>
      <c r="L222" s="119">
        <v>2.0400000000000001E-2</v>
      </c>
      <c r="M222" s="120">
        <v>0.9</v>
      </c>
      <c r="N222" s="120">
        <v>1.1599999999999999</v>
      </c>
      <c r="O222" s="118">
        <v>-21.61</v>
      </c>
      <c r="P222" s="119">
        <v>6.0100000000000001E-2</v>
      </c>
      <c r="Q222" s="120">
        <v>2</v>
      </c>
      <c r="R222" s="118">
        <v>82.41</v>
      </c>
    </row>
    <row r="223" spans="1:18" ht="15" customHeight="1" x14ac:dyDescent="0.55000000000000004">
      <c r="A223" s="114" t="s">
        <v>772</v>
      </c>
      <c r="B223" s="115" t="s">
        <v>773</v>
      </c>
      <c r="C223" s="116" t="s">
        <v>43</v>
      </c>
      <c r="D223" s="114" t="s">
        <v>249</v>
      </c>
      <c r="E223" s="114" t="s">
        <v>80</v>
      </c>
      <c r="F223" s="114" t="s">
        <v>377</v>
      </c>
      <c r="G223" s="117">
        <v>42065</v>
      </c>
      <c r="H223" s="118">
        <v>9.65</v>
      </c>
      <c r="I223" s="118">
        <v>30.17</v>
      </c>
      <c r="J223" s="119">
        <v>3.1263999999999998</v>
      </c>
      <c r="K223" s="120">
        <v>22.68</v>
      </c>
      <c r="L223" s="119">
        <v>3.0499999999999999E-2</v>
      </c>
      <c r="M223" s="120">
        <v>1.2</v>
      </c>
      <c r="N223" s="120">
        <v>1.1100000000000001</v>
      </c>
      <c r="O223" s="118">
        <v>-11.48</v>
      </c>
      <c r="P223" s="119">
        <v>7.0900000000000005E-2</v>
      </c>
      <c r="Q223" s="114"/>
      <c r="R223" s="114"/>
    </row>
    <row r="224" spans="1:18" ht="15" customHeight="1" x14ac:dyDescent="0.55000000000000004">
      <c r="A224" s="114" t="s">
        <v>1085</v>
      </c>
      <c r="B224" s="115" t="s">
        <v>1086</v>
      </c>
      <c r="C224" s="116" t="s">
        <v>98</v>
      </c>
      <c r="D224" s="114" t="s">
        <v>249</v>
      </c>
      <c r="E224" s="114" t="s">
        <v>80</v>
      </c>
      <c r="F224" s="114" t="s">
        <v>377</v>
      </c>
      <c r="G224" s="117">
        <v>42215</v>
      </c>
      <c r="H224" s="118">
        <v>0</v>
      </c>
      <c r="I224" s="118">
        <v>14.39</v>
      </c>
      <c r="J224" s="114" t="s">
        <v>48</v>
      </c>
      <c r="K224" s="114" t="s">
        <v>48</v>
      </c>
      <c r="L224" s="119">
        <v>5.5999999999999999E-3</v>
      </c>
      <c r="M224" s="120">
        <v>0.3</v>
      </c>
      <c r="N224" s="120">
        <v>1.7</v>
      </c>
      <c r="O224" s="118">
        <v>-10.96</v>
      </c>
      <c r="P224" s="119">
        <v>-0.1207</v>
      </c>
      <c r="Q224" s="114"/>
      <c r="R224" s="114"/>
    </row>
    <row r="225" spans="1:18" ht="15" customHeight="1" x14ac:dyDescent="0.55000000000000004">
      <c r="A225" s="114" t="s">
        <v>539</v>
      </c>
      <c r="B225" s="115" t="s">
        <v>540</v>
      </c>
      <c r="C225" s="116" t="s">
        <v>479</v>
      </c>
      <c r="D225" s="114" t="s">
        <v>249</v>
      </c>
      <c r="E225" s="114" t="s">
        <v>44</v>
      </c>
      <c r="F225" s="114" t="s">
        <v>250</v>
      </c>
      <c r="G225" s="117">
        <v>42056</v>
      </c>
      <c r="H225" s="118">
        <v>-1.76</v>
      </c>
      <c r="I225" s="118">
        <v>28.5</v>
      </c>
      <c r="J225" s="119">
        <v>-16.193200000000001</v>
      </c>
      <c r="K225" s="114" t="s">
        <v>48</v>
      </c>
      <c r="L225" s="119">
        <v>2.6700000000000002E-2</v>
      </c>
      <c r="M225" s="120">
        <v>1.2</v>
      </c>
      <c r="N225" s="120">
        <v>0.95</v>
      </c>
      <c r="O225" s="118">
        <v>-17.63</v>
      </c>
      <c r="P225" s="119">
        <v>-2.8925000000000001</v>
      </c>
      <c r="Q225" s="114"/>
      <c r="R225" s="114"/>
    </row>
    <row r="226" spans="1:18" ht="15" customHeight="1" x14ac:dyDescent="0.55000000000000004">
      <c r="A226" s="114" t="s">
        <v>104</v>
      </c>
      <c r="B226" s="115" t="s">
        <v>105</v>
      </c>
      <c r="C226" s="116" t="s">
        <v>79</v>
      </c>
      <c r="D226" s="114" t="s">
        <v>43</v>
      </c>
      <c r="E226" s="114" t="s">
        <v>44</v>
      </c>
      <c r="F226" s="114" t="s">
        <v>45</v>
      </c>
      <c r="G226" s="117">
        <v>42268</v>
      </c>
      <c r="H226" s="118">
        <v>2703.98</v>
      </c>
      <c r="I226" s="118">
        <v>482.01</v>
      </c>
      <c r="J226" s="119">
        <v>0.17829999999999999</v>
      </c>
      <c r="K226" s="120">
        <v>6.86</v>
      </c>
      <c r="L226" s="114" t="s">
        <v>48</v>
      </c>
      <c r="M226" s="120">
        <v>0.9</v>
      </c>
      <c r="N226" s="120">
        <v>2.34</v>
      </c>
      <c r="O226" s="118">
        <v>-153.32</v>
      </c>
      <c r="P226" s="119">
        <v>-8.2000000000000007E-3</v>
      </c>
      <c r="Q226" s="120">
        <v>2</v>
      </c>
      <c r="R226" s="118">
        <v>559.87</v>
      </c>
    </row>
    <row r="227" spans="1:18" ht="15" customHeight="1" x14ac:dyDescent="0.55000000000000004">
      <c r="A227" s="114" t="s">
        <v>541</v>
      </c>
      <c r="B227" s="115" t="s">
        <v>542</v>
      </c>
      <c r="C227" s="116" t="s">
        <v>479</v>
      </c>
      <c r="D227" s="114" t="s">
        <v>249</v>
      </c>
      <c r="E227" s="114" t="s">
        <v>44</v>
      </c>
      <c r="F227" s="114" t="s">
        <v>250</v>
      </c>
      <c r="G227" s="117">
        <v>42030</v>
      </c>
      <c r="H227" s="118">
        <v>140.16999999999999</v>
      </c>
      <c r="I227" s="118">
        <v>88.8</v>
      </c>
      <c r="J227" s="119">
        <v>0.63349999999999995</v>
      </c>
      <c r="K227" s="120">
        <v>24.4</v>
      </c>
      <c r="L227" s="119">
        <v>1.9400000000000001E-2</v>
      </c>
      <c r="M227" s="120">
        <v>1.1000000000000001</v>
      </c>
      <c r="N227" s="120">
        <v>2.0699999999999998</v>
      </c>
      <c r="O227" s="118">
        <v>-1.66</v>
      </c>
      <c r="P227" s="119">
        <v>7.9500000000000001E-2</v>
      </c>
      <c r="Q227" s="114"/>
      <c r="R227" s="114"/>
    </row>
    <row r="228" spans="1:18" ht="15" customHeight="1" x14ac:dyDescent="0.55000000000000004">
      <c r="A228" s="114" t="s">
        <v>890</v>
      </c>
      <c r="B228" s="115" t="s">
        <v>891</v>
      </c>
      <c r="C228" s="116" t="s">
        <v>829</v>
      </c>
      <c r="D228" s="114" t="s">
        <v>249</v>
      </c>
      <c r="E228" s="114" t="s">
        <v>80</v>
      </c>
      <c r="F228" s="114" t="s">
        <v>377</v>
      </c>
      <c r="G228" s="117">
        <v>42097</v>
      </c>
      <c r="H228" s="118">
        <v>34.47</v>
      </c>
      <c r="I228" s="118">
        <v>59.53</v>
      </c>
      <c r="J228" s="119">
        <v>1.7270000000000001</v>
      </c>
      <c r="K228" s="120">
        <v>22.98</v>
      </c>
      <c r="L228" s="119">
        <v>2.9600000000000001E-2</v>
      </c>
      <c r="M228" s="120">
        <v>0.4</v>
      </c>
      <c r="N228" s="120">
        <v>0.67</v>
      </c>
      <c r="O228" s="118">
        <v>-21.96</v>
      </c>
      <c r="P228" s="119">
        <v>7.2400000000000006E-2</v>
      </c>
      <c r="Q228" s="114"/>
      <c r="R228" s="114"/>
    </row>
    <row r="229" spans="1:18" ht="15" customHeight="1" x14ac:dyDescent="0.55000000000000004">
      <c r="A229" s="114" t="s">
        <v>167</v>
      </c>
      <c r="B229" s="115" t="s">
        <v>168</v>
      </c>
      <c r="C229" s="116" t="s">
        <v>142</v>
      </c>
      <c r="D229" s="114" t="s">
        <v>59</v>
      </c>
      <c r="E229" s="114" t="s">
        <v>80</v>
      </c>
      <c r="F229" s="114" t="s">
        <v>81</v>
      </c>
      <c r="G229" s="117">
        <v>42327</v>
      </c>
      <c r="H229" s="118">
        <v>0.28999999999999998</v>
      </c>
      <c r="I229" s="118">
        <v>18.8</v>
      </c>
      <c r="J229" s="119">
        <v>64.827600000000004</v>
      </c>
      <c r="K229" s="120">
        <v>13.93</v>
      </c>
      <c r="L229" s="119">
        <v>2.87E-2</v>
      </c>
      <c r="M229" s="120">
        <v>1.4</v>
      </c>
      <c r="N229" s="120">
        <v>4.71</v>
      </c>
      <c r="O229" s="118">
        <v>0.28999999999999998</v>
      </c>
      <c r="P229" s="119">
        <v>2.7099999999999999E-2</v>
      </c>
      <c r="Q229" s="120">
        <v>5</v>
      </c>
      <c r="R229" s="118">
        <v>18.97</v>
      </c>
    </row>
    <row r="230" spans="1:18" ht="15" customHeight="1" x14ac:dyDescent="0.55000000000000004">
      <c r="A230" s="114" t="s">
        <v>892</v>
      </c>
      <c r="B230" s="115" t="s">
        <v>893</v>
      </c>
      <c r="C230" s="116" t="s">
        <v>829</v>
      </c>
      <c r="D230" s="114" t="s">
        <v>249</v>
      </c>
      <c r="E230" s="114" t="s">
        <v>80</v>
      </c>
      <c r="F230" s="114" t="s">
        <v>377</v>
      </c>
      <c r="G230" s="117">
        <v>42216</v>
      </c>
      <c r="H230" s="118">
        <v>0</v>
      </c>
      <c r="I230" s="118">
        <v>30.14</v>
      </c>
      <c r="J230" s="114" t="s">
        <v>48</v>
      </c>
      <c r="K230" s="120">
        <v>11.29</v>
      </c>
      <c r="L230" s="119">
        <v>5.04E-2</v>
      </c>
      <c r="M230" s="120">
        <v>1.7</v>
      </c>
      <c r="N230" s="120">
        <v>1.22</v>
      </c>
      <c r="O230" s="118">
        <v>-39.83</v>
      </c>
      <c r="P230" s="119">
        <v>1.3899999999999999E-2</v>
      </c>
      <c r="Q230" s="114"/>
      <c r="R230" s="114"/>
    </row>
    <row r="231" spans="1:18" ht="15" customHeight="1" x14ac:dyDescent="0.55000000000000004">
      <c r="A231" s="114" t="s">
        <v>668</v>
      </c>
      <c r="B231" s="115" t="s">
        <v>669</v>
      </c>
      <c r="C231" s="116" t="s">
        <v>634</v>
      </c>
      <c r="D231" s="114" t="s">
        <v>59</v>
      </c>
      <c r="E231" s="114" t="s">
        <v>44</v>
      </c>
      <c r="F231" s="114" t="s">
        <v>60</v>
      </c>
      <c r="G231" s="117">
        <v>42400</v>
      </c>
      <c r="H231" s="118">
        <v>124.82</v>
      </c>
      <c r="I231" s="118">
        <v>91.67</v>
      </c>
      <c r="J231" s="119">
        <v>0.73440000000000005</v>
      </c>
      <c r="K231" s="120">
        <v>28.29</v>
      </c>
      <c r="L231" s="119">
        <v>1.4200000000000001E-2</v>
      </c>
      <c r="M231" s="120">
        <v>0.6</v>
      </c>
      <c r="N231" s="120">
        <v>2.52</v>
      </c>
      <c r="O231" s="118">
        <v>1.45</v>
      </c>
      <c r="P231" s="119">
        <v>9.9000000000000005E-2</v>
      </c>
      <c r="Q231" s="120">
        <v>3</v>
      </c>
      <c r="R231" s="118">
        <v>35.96</v>
      </c>
    </row>
    <row r="232" spans="1:18" ht="15" customHeight="1" x14ac:dyDescent="0.55000000000000004">
      <c r="A232" s="114" t="s">
        <v>894</v>
      </c>
      <c r="B232" s="115" t="s">
        <v>895</v>
      </c>
      <c r="C232" s="116" t="s">
        <v>829</v>
      </c>
      <c r="D232" s="114" t="s">
        <v>249</v>
      </c>
      <c r="E232" s="114" t="s">
        <v>80</v>
      </c>
      <c r="F232" s="114" t="s">
        <v>377</v>
      </c>
      <c r="G232" s="117">
        <v>42147</v>
      </c>
      <c r="H232" s="118">
        <v>10.94</v>
      </c>
      <c r="I232" s="118">
        <v>31.29</v>
      </c>
      <c r="J232" s="119">
        <v>2.8601000000000001</v>
      </c>
      <c r="K232" s="120">
        <v>15.41</v>
      </c>
      <c r="L232" s="119">
        <v>4.7300000000000002E-2</v>
      </c>
      <c r="M232" s="120">
        <v>1</v>
      </c>
      <c r="N232" s="120">
        <v>1.26</v>
      </c>
      <c r="O232" s="118">
        <v>-1.06</v>
      </c>
      <c r="P232" s="119">
        <v>3.4599999999999999E-2</v>
      </c>
      <c r="Q232" s="114"/>
      <c r="R232" s="114"/>
    </row>
    <row r="233" spans="1:18" ht="15" customHeight="1" x14ac:dyDescent="0.55000000000000004">
      <c r="A233" s="114" t="s">
        <v>1087</v>
      </c>
      <c r="B233" s="115" t="s">
        <v>1088</v>
      </c>
      <c r="C233" s="116" t="s">
        <v>98</v>
      </c>
      <c r="D233" s="114" t="s">
        <v>249</v>
      </c>
      <c r="E233" s="114" t="s">
        <v>80</v>
      </c>
      <c r="F233" s="114" t="s">
        <v>377</v>
      </c>
      <c r="G233" s="117">
        <v>42157</v>
      </c>
      <c r="H233" s="118">
        <v>0</v>
      </c>
      <c r="I233" s="118">
        <v>2.48</v>
      </c>
      <c r="J233" s="114" t="s">
        <v>48</v>
      </c>
      <c r="K233" s="114" t="s">
        <v>48</v>
      </c>
      <c r="L233" s="114" t="s">
        <v>48</v>
      </c>
      <c r="M233" s="120">
        <v>2.4</v>
      </c>
      <c r="N233" s="114" t="s">
        <v>48</v>
      </c>
      <c r="O233" s="114" t="s">
        <v>48</v>
      </c>
      <c r="P233" s="119">
        <v>-0.35249999999999998</v>
      </c>
      <c r="Q233" s="114"/>
      <c r="R233" s="114"/>
    </row>
    <row r="234" spans="1:18" ht="15" customHeight="1" x14ac:dyDescent="0.55000000000000004">
      <c r="A234" s="114" t="s">
        <v>543</v>
      </c>
      <c r="B234" s="115" t="s">
        <v>544</v>
      </c>
      <c r="C234" s="116" t="s">
        <v>479</v>
      </c>
      <c r="D234" s="114" t="s">
        <v>59</v>
      </c>
      <c r="E234" s="114" t="s">
        <v>80</v>
      </c>
      <c r="F234" s="114" t="s">
        <v>81</v>
      </c>
      <c r="G234" s="117">
        <v>42305</v>
      </c>
      <c r="H234" s="118">
        <v>460.16</v>
      </c>
      <c r="I234" s="118">
        <v>718.85</v>
      </c>
      <c r="J234" s="119">
        <v>1.5622</v>
      </c>
      <c r="K234" s="120">
        <v>39.11</v>
      </c>
      <c r="L234" s="114" t="s">
        <v>48</v>
      </c>
      <c r="M234" s="121" t="e">
        <v>#N/A</v>
      </c>
      <c r="N234" s="120">
        <v>4.7699999999999996</v>
      </c>
      <c r="O234" s="118">
        <v>87.62</v>
      </c>
      <c r="P234" s="119">
        <v>0.15310000000000001</v>
      </c>
      <c r="Q234" s="120">
        <v>0</v>
      </c>
      <c r="R234" s="118">
        <v>257.95</v>
      </c>
    </row>
    <row r="235" spans="1:18" ht="15" customHeight="1" x14ac:dyDescent="0.55000000000000004">
      <c r="A235" s="114" t="s">
        <v>545</v>
      </c>
      <c r="B235" s="115" t="s">
        <v>544</v>
      </c>
      <c r="C235" s="116" t="s">
        <v>479</v>
      </c>
      <c r="D235" s="114" t="s">
        <v>59</v>
      </c>
      <c r="E235" s="114" t="s">
        <v>80</v>
      </c>
      <c r="F235" s="114" t="s">
        <v>81</v>
      </c>
      <c r="G235" s="117">
        <v>42305</v>
      </c>
      <c r="H235" s="118">
        <v>460.16</v>
      </c>
      <c r="I235" s="118">
        <v>739.48</v>
      </c>
      <c r="J235" s="119">
        <v>1.607</v>
      </c>
      <c r="K235" s="120">
        <v>40.229999999999997</v>
      </c>
      <c r="L235" s="114" t="s">
        <v>48</v>
      </c>
      <c r="M235" s="120">
        <v>0.9</v>
      </c>
      <c r="N235" s="120">
        <v>4.7699999999999996</v>
      </c>
      <c r="O235" s="118">
        <v>87.62</v>
      </c>
      <c r="P235" s="119">
        <v>0.15870000000000001</v>
      </c>
      <c r="Q235" s="120">
        <v>0</v>
      </c>
      <c r="R235" s="118">
        <v>257.95</v>
      </c>
    </row>
    <row r="236" spans="1:18" ht="15" customHeight="1" x14ac:dyDescent="0.55000000000000004">
      <c r="A236" s="114" t="s">
        <v>169</v>
      </c>
      <c r="B236" s="115" t="s">
        <v>170</v>
      </c>
      <c r="C236" s="116" t="s">
        <v>142</v>
      </c>
      <c r="D236" s="114" t="s">
        <v>59</v>
      </c>
      <c r="E236" s="114" t="s">
        <v>98</v>
      </c>
      <c r="F236" s="114" t="s">
        <v>150</v>
      </c>
      <c r="G236" s="117">
        <v>42399</v>
      </c>
      <c r="H236" s="118">
        <v>94.75</v>
      </c>
      <c r="I236" s="118">
        <v>93.54</v>
      </c>
      <c r="J236" s="119">
        <v>0.98719999999999997</v>
      </c>
      <c r="K236" s="120">
        <v>21.21</v>
      </c>
      <c r="L236" s="119">
        <v>2.81E-2</v>
      </c>
      <c r="M236" s="120">
        <v>0.8</v>
      </c>
      <c r="N236" s="120">
        <v>1.49</v>
      </c>
      <c r="O236" s="118">
        <v>3.81</v>
      </c>
      <c r="P236" s="119">
        <v>6.3600000000000004E-2</v>
      </c>
      <c r="Q236" s="120">
        <v>20</v>
      </c>
      <c r="R236" s="118">
        <v>46.26</v>
      </c>
    </row>
    <row r="237" spans="1:18" ht="15" customHeight="1" x14ac:dyDescent="0.55000000000000004">
      <c r="A237" s="114" t="s">
        <v>314</v>
      </c>
      <c r="B237" s="115" t="s">
        <v>315</v>
      </c>
      <c r="C237" s="116" t="s">
        <v>297</v>
      </c>
      <c r="D237" s="114" t="s">
        <v>43</v>
      </c>
      <c r="E237" s="114" t="s">
        <v>44</v>
      </c>
      <c r="F237" s="114" t="s">
        <v>45</v>
      </c>
      <c r="G237" s="117">
        <v>42409</v>
      </c>
      <c r="H237" s="118">
        <v>60.25</v>
      </c>
      <c r="I237" s="118">
        <v>28.37</v>
      </c>
      <c r="J237" s="119">
        <v>0.47089999999999999</v>
      </c>
      <c r="K237" s="120">
        <v>11.63</v>
      </c>
      <c r="L237" s="119">
        <v>3.2399999999999998E-2</v>
      </c>
      <c r="M237" s="120">
        <v>1.2</v>
      </c>
      <c r="N237" s="120">
        <v>1.58</v>
      </c>
      <c r="O237" s="118">
        <v>-2.0499999999999998</v>
      </c>
      <c r="P237" s="119">
        <v>1.5599999999999999E-2</v>
      </c>
      <c r="Q237" s="120">
        <v>6</v>
      </c>
      <c r="R237" s="118">
        <v>17.64</v>
      </c>
    </row>
    <row r="238" spans="1:18" ht="15" customHeight="1" x14ac:dyDescent="0.55000000000000004">
      <c r="A238" s="114" t="s">
        <v>243</v>
      </c>
      <c r="B238" s="115" t="s">
        <v>244</v>
      </c>
      <c r="C238" s="116" t="s">
        <v>215</v>
      </c>
      <c r="D238" s="114" t="s">
        <v>43</v>
      </c>
      <c r="E238" s="114" t="s">
        <v>80</v>
      </c>
      <c r="F238" s="114" t="s">
        <v>145</v>
      </c>
      <c r="G238" s="117">
        <v>42415</v>
      </c>
      <c r="H238" s="118">
        <v>5.65</v>
      </c>
      <c r="I238" s="118">
        <v>40.92</v>
      </c>
      <c r="J238" s="119">
        <v>7.2424999999999997</v>
      </c>
      <c r="K238" s="120">
        <v>17.12</v>
      </c>
      <c r="L238" s="119">
        <v>4.99E-2</v>
      </c>
      <c r="M238" s="120">
        <v>0.7</v>
      </c>
      <c r="N238" s="120">
        <v>2.4900000000000002</v>
      </c>
      <c r="O238" s="118">
        <v>5.65</v>
      </c>
      <c r="P238" s="119">
        <v>4.3099999999999999E-2</v>
      </c>
      <c r="Q238" s="120">
        <v>6</v>
      </c>
      <c r="R238" s="118">
        <v>28.67</v>
      </c>
    </row>
    <row r="239" spans="1:18" ht="15" customHeight="1" x14ac:dyDescent="0.55000000000000004">
      <c r="A239" s="114" t="s">
        <v>316</v>
      </c>
      <c r="B239" s="115" t="s">
        <v>317</v>
      </c>
      <c r="C239" s="116" t="s">
        <v>297</v>
      </c>
      <c r="D239" s="114" t="s">
        <v>59</v>
      </c>
      <c r="E239" s="114" t="s">
        <v>44</v>
      </c>
      <c r="F239" s="114" t="s">
        <v>60</v>
      </c>
      <c r="G239" s="117">
        <v>42318</v>
      </c>
      <c r="H239" s="118">
        <v>243.19</v>
      </c>
      <c r="I239" s="118">
        <v>154.09</v>
      </c>
      <c r="J239" s="119">
        <v>0.63360000000000005</v>
      </c>
      <c r="K239" s="120">
        <v>10.42</v>
      </c>
      <c r="L239" s="119">
        <v>1.6899999999999998E-2</v>
      </c>
      <c r="M239" s="120">
        <v>1.7</v>
      </c>
      <c r="N239" s="114" t="s">
        <v>48</v>
      </c>
      <c r="O239" s="114" t="s">
        <v>48</v>
      </c>
      <c r="P239" s="119">
        <v>9.5999999999999992E-3</v>
      </c>
      <c r="Q239" s="120">
        <v>4</v>
      </c>
      <c r="R239" s="118">
        <v>243.17</v>
      </c>
    </row>
    <row r="240" spans="1:18" ht="15" customHeight="1" x14ac:dyDescent="0.55000000000000004">
      <c r="A240" s="114" t="s">
        <v>546</v>
      </c>
      <c r="B240" s="115" t="s">
        <v>547</v>
      </c>
      <c r="C240" s="116" t="s">
        <v>479</v>
      </c>
      <c r="D240" s="114" t="s">
        <v>249</v>
      </c>
      <c r="E240" s="114" t="s">
        <v>44</v>
      </c>
      <c r="F240" s="114" t="s">
        <v>250</v>
      </c>
      <c r="G240" s="117">
        <v>42039</v>
      </c>
      <c r="H240" s="118">
        <v>69.09</v>
      </c>
      <c r="I240" s="118">
        <v>31.41</v>
      </c>
      <c r="J240" s="119">
        <v>0.4546</v>
      </c>
      <c r="K240" s="120">
        <v>17.55</v>
      </c>
      <c r="L240" s="119">
        <v>7.6E-3</v>
      </c>
      <c r="M240" s="120">
        <v>2</v>
      </c>
      <c r="N240" s="120">
        <v>1.69</v>
      </c>
      <c r="O240" s="118">
        <v>-24.18</v>
      </c>
      <c r="P240" s="119">
        <v>4.5199999999999997E-2</v>
      </c>
      <c r="Q240" s="114"/>
      <c r="R240" s="114"/>
    </row>
    <row r="241" spans="1:18" ht="15" customHeight="1" x14ac:dyDescent="0.55000000000000004">
      <c r="A241" s="114" t="s">
        <v>318</v>
      </c>
      <c r="B241" s="115" t="s">
        <v>319</v>
      </c>
      <c r="C241" s="116" t="s">
        <v>297</v>
      </c>
      <c r="D241" s="114" t="s">
        <v>43</v>
      </c>
      <c r="E241" s="114" t="s">
        <v>98</v>
      </c>
      <c r="F241" s="114" t="s">
        <v>132</v>
      </c>
      <c r="G241" s="117">
        <v>42377</v>
      </c>
      <c r="H241" s="118">
        <v>269.26</v>
      </c>
      <c r="I241" s="118">
        <v>220.61</v>
      </c>
      <c r="J241" s="119">
        <v>0.81930000000000003</v>
      </c>
      <c r="K241" s="120">
        <v>20.170000000000002</v>
      </c>
      <c r="L241" s="119">
        <v>2.12E-2</v>
      </c>
      <c r="M241" s="120">
        <v>0.7</v>
      </c>
      <c r="N241" s="120">
        <v>2</v>
      </c>
      <c r="O241" s="118">
        <v>-5.23</v>
      </c>
      <c r="P241" s="119">
        <v>5.8299999999999998E-2</v>
      </c>
      <c r="Q241" s="120">
        <v>20</v>
      </c>
      <c r="R241" s="118">
        <v>98.09</v>
      </c>
    </row>
    <row r="242" spans="1:18" ht="15" customHeight="1" x14ac:dyDescent="0.55000000000000004">
      <c r="A242" s="114" t="s">
        <v>896</v>
      </c>
      <c r="B242" s="115" t="s">
        <v>897</v>
      </c>
      <c r="C242" s="116" t="s">
        <v>829</v>
      </c>
      <c r="D242" s="114" t="s">
        <v>249</v>
      </c>
      <c r="E242" s="114" t="s">
        <v>80</v>
      </c>
      <c r="F242" s="114" t="s">
        <v>377</v>
      </c>
      <c r="G242" s="117">
        <v>42257</v>
      </c>
      <c r="H242" s="118">
        <v>12.5</v>
      </c>
      <c r="I242" s="118">
        <v>33.659999999999997</v>
      </c>
      <c r="J242" s="119">
        <v>2.6928000000000001</v>
      </c>
      <c r="K242" s="120">
        <v>16.03</v>
      </c>
      <c r="L242" s="119">
        <v>2.1399999999999999E-2</v>
      </c>
      <c r="M242" s="120">
        <v>1.5</v>
      </c>
      <c r="N242" s="120">
        <v>3.04</v>
      </c>
      <c r="O242" s="118">
        <v>0.35</v>
      </c>
      <c r="P242" s="119">
        <v>3.7600000000000001E-2</v>
      </c>
      <c r="Q242" s="120">
        <v>3</v>
      </c>
      <c r="R242" s="114" t="s">
        <v>48</v>
      </c>
    </row>
    <row r="243" spans="1:18" ht="15" customHeight="1" x14ac:dyDescent="0.55000000000000004">
      <c r="A243" s="114" t="s">
        <v>548</v>
      </c>
      <c r="B243" s="115" t="s">
        <v>549</v>
      </c>
      <c r="C243" s="116" t="s">
        <v>479</v>
      </c>
      <c r="D243" s="114" t="s">
        <v>249</v>
      </c>
      <c r="E243" s="114" t="s">
        <v>44</v>
      </c>
      <c r="F243" s="114" t="s">
        <v>250</v>
      </c>
      <c r="G243" s="117">
        <v>42258</v>
      </c>
      <c r="H243" s="118">
        <v>178.74</v>
      </c>
      <c r="I243" s="118">
        <v>79.53</v>
      </c>
      <c r="J243" s="119">
        <v>0.44490000000000002</v>
      </c>
      <c r="K243" s="120">
        <v>17.14</v>
      </c>
      <c r="L243" s="119">
        <v>1.7600000000000001E-2</v>
      </c>
      <c r="M243" s="120">
        <v>2.1</v>
      </c>
      <c r="N243" s="120">
        <v>1.39</v>
      </c>
      <c r="O243" s="118">
        <v>-8.36</v>
      </c>
      <c r="P243" s="119">
        <v>4.3200000000000002E-2</v>
      </c>
      <c r="Q243" s="120">
        <v>6</v>
      </c>
      <c r="R243" s="118">
        <v>68.8</v>
      </c>
    </row>
    <row r="244" spans="1:18" ht="15" customHeight="1" x14ac:dyDescent="0.55000000000000004">
      <c r="A244" s="114" t="s">
        <v>670</v>
      </c>
      <c r="B244" s="115" t="s">
        <v>671</v>
      </c>
      <c r="C244" s="116" t="s">
        <v>634</v>
      </c>
      <c r="D244" s="114" t="s">
        <v>59</v>
      </c>
      <c r="E244" s="114" t="s">
        <v>80</v>
      </c>
      <c r="F244" s="114" t="s">
        <v>81</v>
      </c>
      <c r="G244" s="117">
        <v>42398</v>
      </c>
      <c r="H244" s="118">
        <v>37.99</v>
      </c>
      <c r="I244" s="118">
        <v>78.94</v>
      </c>
      <c r="J244" s="119">
        <v>2.0779000000000001</v>
      </c>
      <c r="K244" s="120">
        <v>26.85</v>
      </c>
      <c r="L244" s="119">
        <v>2.58E-2</v>
      </c>
      <c r="M244" s="120">
        <v>1.2</v>
      </c>
      <c r="N244" s="120">
        <v>2.64</v>
      </c>
      <c r="O244" s="118">
        <v>-2.04</v>
      </c>
      <c r="P244" s="119">
        <v>9.1800000000000007E-2</v>
      </c>
      <c r="Q244" s="120">
        <v>2</v>
      </c>
      <c r="R244" s="118">
        <v>30.67</v>
      </c>
    </row>
    <row r="245" spans="1:18" ht="15" customHeight="1" x14ac:dyDescent="0.55000000000000004">
      <c r="A245" s="114" t="s">
        <v>106</v>
      </c>
      <c r="B245" s="115" t="s">
        <v>107</v>
      </c>
      <c r="C245" s="116" t="s">
        <v>79</v>
      </c>
      <c r="D245" s="114" t="s">
        <v>59</v>
      </c>
      <c r="E245" s="114" t="s">
        <v>44</v>
      </c>
      <c r="F245" s="114" t="s">
        <v>60</v>
      </c>
      <c r="G245" s="117">
        <v>42373</v>
      </c>
      <c r="H245" s="118">
        <v>28.36</v>
      </c>
      <c r="I245" s="118">
        <v>9.2899999999999991</v>
      </c>
      <c r="J245" s="119">
        <v>0.3276</v>
      </c>
      <c r="K245" s="120">
        <v>12.55</v>
      </c>
      <c r="L245" s="119">
        <v>3.0099999999999998E-2</v>
      </c>
      <c r="M245" s="120">
        <v>1.2</v>
      </c>
      <c r="N245" s="114" t="s">
        <v>48</v>
      </c>
      <c r="O245" s="114" t="s">
        <v>48</v>
      </c>
      <c r="P245" s="119">
        <v>2.0299999999999999E-2</v>
      </c>
      <c r="Q245" s="120">
        <v>5</v>
      </c>
      <c r="R245" s="118">
        <v>11.83</v>
      </c>
    </row>
    <row r="246" spans="1:18" ht="15" customHeight="1" x14ac:dyDescent="0.55000000000000004">
      <c r="A246" s="114" t="s">
        <v>392</v>
      </c>
      <c r="B246" s="115" t="s">
        <v>393</v>
      </c>
      <c r="C246" s="116" t="s">
        <v>304</v>
      </c>
      <c r="D246" s="114" t="s">
        <v>59</v>
      </c>
      <c r="E246" s="114" t="s">
        <v>98</v>
      </c>
      <c r="F246" s="114" t="s">
        <v>150</v>
      </c>
      <c r="G246" s="117">
        <v>42403</v>
      </c>
      <c r="H246" s="118">
        <v>35.82</v>
      </c>
      <c r="I246" s="118">
        <v>29.01</v>
      </c>
      <c r="J246" s="119">
        <v>0.80989999999999995</v>
      </c>
      <c r="K246" s="120">
        <v>31.19</v>
      </c>
      <c r="L246" s="119">
        <v>1.52E-2</v>
      </c>
      <c r="M246" s="120">
        <v>1.2</v>
      </c>
      <c r="N246" s="120">
        <v>2.08</v>
      </c>
      <c r="O246" s="118">
        <v>-3.24</v>
      </c>
      <c r="P246" s="119">
        <v>0.1135</v>
      </c>
      <c r="Q246" s="120">
        <v>3</v>
      </c>
      <c r="R246" s="118">
        <v>9.32</v>
      </c>
    </row>
    <row r="247" spans="1:18" ht="15" customHeight="1" x14ac:dyDescent="0.55000000000000004">
      <c r="A247" s="114" t="s">
        <v>774</v>
      </c>
      <c r="B247" s="115" t="s">
        <v>775</v>
      </c>
      <c r="C247" s="116" t="s">
        <v>43</v>
      </c>
      <c r="D247" s="114" t="s">
        <v>249</v>
      </c>
      <c r="E247" s="114" t="s">
        <v>80</v>
      </c>
      <c r="F247" s="114" t="s">
        <v>377</v>
      </c>
      <c r="G247" s="117">
        <v>42213</v>
      </c>
      <c r="H247" s="118">
        <v>51.42</v>
      </c>
      <c r="I247" s="118">
        <v>71.3</v>
      </c>
      <c r="J247" s="119">
        <v>1.3866000000000001</v>
      </c>
      <c r="K247" s="120">
        <v>16.66</v>
      </c>
      <c r="L247" s="114" t="s">
        <v>48</v>
      </c>
      <c r="M247" s="120">
        <v>1.1000000000000001</v>
      </c>
      <c r="N247" s="120">
        <v>1.27</v>
      </c>
      <c r="O247" s="118">
        <v>-68.41</v>
      </c>
      <c r="P247" s="119">
        <v>4.0800000000000003E-2</v>
      </c>
      <c r="Q247" s="114"/>
      <c r="R247" s="114"/>
    </row>
    <row r="248" spans="1:18" ht="15" customHeight="1" x14ac:dyDescent="0.55000000000000004">
      <c r="A248" s="114" t="s">
        <v>394</v>
      </c>
      <c r="B248" s="115" t="s">
        <v>395</v>
      </c>
      <c r="C248" s="116" t="s">
        <v>304</v>
      </c>
      <c r="D248" s="114" t="s">
        <v>59</v>
      </c>
      <c r="E248" s="114" t="s">
        <v>80</v>
      </c>
      <c r="F248" s="114" t="s">
        <v>81</v>
      </c>
      <c r="G248" s="117">
        <v>42320</v>
      </c>
      <c r="H248" s="118">
        <v>28.29</v>
      </c>
      <c r="I248" s="118">
        <v>66.930000000000007</v>
      </c>
      <c r="J248" s="119">
        <v>2.3658999999999999</v>
      </c>
      <c r="K248" s="120">
        <v>40.56</v>
      </c>
      <c r="L248" s="119">
        <v>5.1400000000000001E-2</v>
      </c>
      <c r="M248" s="120">
        <v>0.4</v>
      </c>
      <c r="N248" s="120">
        <v>2.06</v>
      </c>
      <c r="O248" s="118">
        <v>-32.270000000000003</v>
      </c>
      <c r="P248" s="119">
        <v>0.1603</v>
      </c>
      <c r="Q248" s="120">
        <v>8</v>
      </c>
      <c r="R248" s="118">
        <v>51.58</v>
      </c>
    </row>
    <row r="249" spans="1:18" ht="15" customHeight="1" x14ac:dyDescent="0.55000000000000004">
      <c r="A249" s="114" t="s">
        <v>245</v>
      </c>
      <c r="B249" s="115" t="s">
        <v>246</v>
      </c>
      <c r="C249" s="116" t="s">
        <v>215</v>
      </c>
      <c r="D249" s="114" t="s">
        <v>59</v>
      </c>
      <c r="E249" s="114" t="s">
        <v>98</v>
      </c>
      <c r="F249" s="114" t="s">
        <v>150</v>
      </c>
      <c r="G249" s="117">
        <v>42400</v>
      </c>
      <c r="H249" s="118">
        <v>28.76</v>
      </c>
      <c r="I249" s="118">
        <v>30.98</v>
      </c>
      <c r="J249" s="119">
        <v>1.0771999999999999</v>
      </c>
      <c r="K249" s="120">
        <v>19.61</v>
      </c>
      <c r="L249" s="119">
        <v>7.4200000000000002E-2</v>
      </c>
      <c r="M249" s="120">
        <v>0.3</v>
      </c>
      <c r="N249" s="120">
        <v>1.95</v>
      </c>
      <c r="O249" s="118">
        <v>-23.78</v>
      </c>
      <c r="P249" s="119">
        <v>5.5500000000000001E-2</v>
      </c>
      <c r="Q249" s="120">
        <v>11</v>
      </c>
      <c r="R249" s="118">
        <v>20.46</v>
      </c>
    </row>
    <row r="250" spans="1:18" ht="15" customHeight="1" x14ac:dyDescent="0.55000000000000004">
      <c r="A250" s="114" t="s">
        <v>898</v>
      </c>
      <c r="B250" s="115" t="s">
        <v>899</v>
      </c>
      <c r="C250" s="116" t="s">
        <v>829</v>
      </c>
      <c r="D250" s="114" t="s">
        <v>249</v>
      </c>
      <c r="E250" s="114" t="s">
        <v>98</v>
      </c>
      <c r="F250" s="114" t="s">
        <v>412</v>
      </c>
      <c r="G250" s="117">
        <v>42318</v>
      </c>
      <c r="H250" s="118">
        <v>166.55</v>
      </c>
      <c r="I250" s="118">
        <v>125.61</v>
      </c>
      <c r="J250" s="119">
        <v>0.75419999999999998</v>
      </c>
      <c r="K250" s="120">
        <v>29.01</v>
      </c>
      <c r="L250" s="119">
        <v>2.1999999999999999E-2</v>
      </c>
      <c r="M250" s="120">
        <v>0.9</v>
      </c>
      <c r="N250" s="120">
        <v>1.19</v>
      </c>
      <c r="O250" s="118">
        <v>-12.13</v>
      </c>
      <c r="P250" s="119">
        <v>0.10249999999999999</v>
      </c>
      <c r="Q250" s="120">
        <v>6</v>
      </c>
      <c r="R250" s="118">
        <v>28.22</v>
      </c>
    </row>
    <row r="251" spans="1:18" ht="15" customHeight="1" x14ac:dyDescent="0.55000000000000004">
      <c r="A251" s="114" t="s">
        <v>900</v>
      </c>
      <c r="B251" s="115" t="s">
        <v>901</v>
      </c>
      <c r="C251" s="116" t="s">
        <v>829</v>
      </c>
      <c r="D251" s="114" t="s">
        <v>249</v>
      </c>
      <c r="E251" s="114" t="s">
        <v>80</v>
      </c>
      <c r="F251" s="114" t="s">
        <v>377</v>
      </c>
      <c r="G251" s="117">
        <v>42136</v>
      </c>
      <c r="H251" s="118">
        <v>25.89</v>
      </c>
      <c r="I251" s="118">
        <v>46.92</v>
      </c>
      <c r="J251" s="119">
        <v>1.8123</v>
      </c>
      <c r="K251" s="120">
        <v>10.029999999999999</v>
      </c>
      <c r="L251" s="119">
        <v>2.1299999999999999E-2</v>
      </c>
      <c r="M251" s="120">
        <v>1.8</v>
      </c>
      <c r="N251" s="120">
        <v>1.25</v>
      </c>
      <c r="O251" s="118">
        <v>-35.659999999999997</v>
      </c>
      <c r="P251" s="119">
        <v>7.6E-3</v>
      </c>
      <c r="Q251" s="114"/>
      <c r="R251" s="114"/>
    </row>
    <row r="252" spans="1:18" ht="15" customHeight="1" x14ac:dyDescent="0.55000000000000004">
      <c r="A252" s="114" t="s">
        <v>902</v>
      </c>
      <c r="B252" s="115" t="s">
        <v>903</v>
      </c>
      <c r="C252" s="116" t="s">
        <v>829</v>
      </c>
      <c r="D252" s="114" t="s">
        <v>249</v>
      </c>
      <c r="E252" s="114" t="s">
        <v>44</v>
      </c>
      <c r="F252" s="114" t="s">
        <v>250</v>
      </c>
      <c r="G252" s="117">
        <v>42158</v>
      </c>
      <c r="H252" s="118">
        <v>69.66</v>
      </c>
      <c r="I252" s="118">
        <v>43.62</v>
      </c>
      <c r="J252" s="119">
        <v>0.62619999999999998</v>
      </c>
      <c r="K252" s="120">
        <v>24.1</v>
      </c>
      <c r="L252" s="119">
        <v>1.9300000000000001E-2</v>
      </c>
      <c r="M252" s="120">
        <v>1.7</v>
      </c>
      <c r="N252" s="114" t="s">
        <v>48</v>
      </c>
      <c r="O252" s="114" t="s">
        <v>48</v>
      </c>
      <c r="P252" s="119">
        <v>7.8E-2</v>
      </c>
      <c r="Q252" s="114"/>
      <c r="R252" s="114"/>
    </row>
    <row r="253" spans="1:18" ht="15" customHeight="1" x14ac:dyDescent="0.55000000000000004">
      <c r="A253" s="114" t="s">
        <v>171</v>
      </c>
      <c r="B253" s="115" t="s">
        <v>172</v>
      </c>
      <c r="C253" s="116" t="s">
        <v>142</v>
      </c>
      <c r="D253" s="114" t="s">
        <v>59</v>
      </c>
      <c r="E253" s="114" t="s">
        <v>44</v>
      </c>
      <c r="F253" s="114" t="s">
        <v>60</v>
      </c>
      <c r="G253" s="117">
        <v>42373</v>
      </c>
      <c r="H253" s="118">
        <v>131.03</v>
      </c>
      <c r="I253" s="118">
        <v>44.92</v>
      </c>
      <c r="J253" s="119">
        <v>0.34279999999999999</v>
      </c>
      <c r="K253" s="120">
        <v>13.21</v>
      </c>
      <c r="L253" s="119">
        <v>2.76E-2</v>
      </c>
      <c r="M253" s="120">
        <v>0.8</v>
      </c>
      <c r="N253" s="120">
        <v>1.73</v>
      </c>
      <c r="O253" s="118">
        <v>-17.38</v>
      </c>
      <c r="P253" s="119">
        <v>2.3599999999999999E-2</v>
      </c>
      <c r="Q253" s="120">
        <v>5</v>
      </c>
      <c r="R253" s="118">
        <v>32.6</v>
      </c>
    </row>
    <row r="254" spans="1:18" ht="15" customHeight="1" x14ac:dyDescent="0.55000000000000004">
      <c r="A254" s="114" t="s">
        <v>396</v>
      </c>
      <c r="B254" s="115" t="s">
        <v>397</v>
      </c>
      <c r="C254" s="116" t="s">
        <v>304</v>
      </c>
      <c r="D254" s="114" t="s">
        <v>249</v>
      </c>
      <c r="E254" s="114" t="s">
        <v>44</v>
      </c>
      <c r="F254" s="114" t="s">
        <v>250</v>
      </c>
      <c r="G254" s="117">
        <v>42410</v>
      </c>
      <c r="H254" s="118">
        <v>202.12</v>
      </c>
      <c r="I254" s="118">
        <v>106.47</v>
      </c>
      <c r="J254" s="119">
        <v>0.52680000000000005</v>
      </c>
      <c r="K254" s="120">
        <v>18.809999999999999</v>
      </c>
      <c r="L254" s="119">
        <v>2.24E-2</v>
      </c>
      <c r="M254" s="120">
        <v>1.1000000000000001</v>
      </c>
      <c r="N254" s="120">
        <v>1.0900000000000001</v>
      </c>
      <c r="O254" s="118">
        <v>-14.07</v>
      </c>
      <c r="P254" s="119">
        <v>5.16E-2</v>
      </c>
      <c r="Q254" s="120">
        <v>6</v>
      </c>
      <c r="R254" s="118">
        <v>59.12</v>
      </c>
    </row>
    <row r="255" spans="1:18" ht="15" customHeight="1" x14ac:dyDescent="0.55000000000000004">
      <c r="A255" s="114" t="s">
        <v>550</v>
      </c>
      <c r="B255" s="115" t="s">
        <v>551</v>
      </c>
      <c r="C255" s="116" t="s">
        <v>479</v>
      </c>
      <c r="D255" s="114" t="s">
        <v>249</v>
      </c>
      <c r="E255" s="114" t="s">
        <v>98</v>
      </c>
      <c r="F255" s="114" t="s">
        <v>412</v>
      </c>
      <c r="G255" s="117">
        <v>42200</v>
      </c>
      <c r="H255" s="118">
        <v>75.09</v>
      </c>
      <c r="I255" s="118">
        <v>70.25</v>
      </c>
      <c r="J255" s="119">
        <v>0.9355</v>
      </c>
      <c r="K255" s="120">
        <v>22.96</v>
      </c>
      <c r="L255" s="119">
        <v>2.1399999999999999E-2</v>
      </c>
      <c r="M255" s="120">
        <v>2</v>
      </c>
      <c r="N255" s="120">
        <v>0.83</v>
      </c>
      <c r="O255" s="118">
        <v>-28.38</v>
      </c>
      <c r="P255" s="119">
        <v>7.2300000000000003E-2</v>
      </c>
      <c r="Q255" s="114"/>
      <c r="R255" s="114"/>
    </row>
    <row r="256" spans="1:18" ht="15" customHeight="1" x14ac:dyDescent="0.55000000000000004">
      <c r="A256" s="114" t="s">
        <v>320</v>
      </c>
      <c r="B256" s="115" t="s">
        <v>321</v>
      </c>
      <c r="C256" s="116" t="s">
        <v>297</v>
      </c>
      <c r="D256" s="114" t="s">
        <v>43</v>
      </c>
      <c r="E256" s="114" t="s">
        <v>80</v>
      </c>
      <c r="F256" s="114" t="s">
        <v>145</v>
      </c>
      <c r="G256" s="117">
        <v>42335</v>
      </c>
      <c r="H256" s="118">
        <v>26.35</v>
      </c>
      <c r="I256" s="118">
        <v>57.34</v>
      </c>
      <c r="J256" s="119">
        <v>2.1760999999999999</v>
      </c>
      <c r="K256" s="120">
        <v>15.54</v>
      </c>
      <c r="L256" s="119">
        <v>4.8000000000000001E-2</v>
      </c>
      <c r="M256" s="120">
        <v>1.7</v>
      </c>
      <c r="N256" s="120">
        <v>4.0999999999999996</v>
      </c>
      <c r="O256" s="118">
        <v>-7.51</v>
      </c>
      <c r="P256" s="119">
        <v>3.5200000000000002E-2</v>
      </c>
      <c r="Q256" s="120">
        <v>20</v>
      </c>
      <c r="R256" s="118">
        <v>17.82</v>
      </c>
    </row>
    <row r="257" spans="1:18" ht="15" customHeight="1" x14ac:dyDescent="0.55000000000000004">
      <c r="A257" s="114" t="s">
        <v>904</v>
      </c>
      <c r="B257" s="115" t="s">
        <v>905</v>
      </c>
      <c r="C257" s="116" t="s">
        <v>829</v>
      </c>
      <c r="D257" s="114" t="s">
        <v>249</v>
      </c>
      <c r="E257" s="114" t="s">
        <v>80</v>
      </c>
      <c r="F257" s="114" t="s">
        <v>377</v>
      </c>
      <c r="G257" s="117">
        <v>42033</v>
      </c>
      <c r="H257" s="118">
        <v>0</v>
      </c>
      <c r="I257" s="118">
        <v>10.9</v>
      </c>
      <c r="J257" s="114" t="s">
        <v>48</v>
      </c>
      <c r="K257" s="120">
        <v>11.12</v>
      </c>
      <c r="L257" s="119">
        <v>4.5900000000000003E-2</v>
      </c>
      <c r="M257" s="120">
        <v>1.6</v>
      </c>
      <c r="N257" s="120">
        <v>1.1499999999999999</v>
      </c>
      <c r="O257" s="118">
        <v>-13.79</v>
      </c>
      <c r="P257" s="119">
        <v>1.3100000000000001E-2</v>
      </c>
      <c r="Q257" s="114"/>
      <c r="R257" s="114"/>
    </row>
    <row r="258" spans="1:18" ht="15" customHeight="1" x14ac:dyDescent="0.55000000000000004">
      <c r="A258" s="114" t="s">
        <v>552</v>
      </c>
      <c r="B258" s="115" t="s">
        <v>553</v>
      </c>
      <c r="C258" s="116" t="s">
        <v>479</v>
      </c>
      <c r="D258" s="114" t="s">
        <v>249</v>
      </c>
      <c r="E258" s="114" t="s">
        <v>44</v>
      </c>
      <c r="F258" s="114" t="s">
        <v>250</v>
      </c>
      <c r="G258" s="117">
        <v>42052</v>
      </c>
      <c r="H258" s="118">
        <v>44.54</v>
      </c>
      <c r="I258" s="118">
        <v>32.590000000000003</v>
      </c>
      <c r="J258" s="119">
        <v>0.73170000000000002</v>
      </c>
      <c r="K258" s="120">
        <v>21.58</v>
      </c>
      <c r="L258" s="119">
        <v>2.4500000000000001E-2</v>
      </c>
      <c r="M258" s="120">
        <v>1</v>
      </c>
      <c r="N258" s="120">
        <v>1.35</v>
      </c>
      <c r="O258" s="118">
        <v>-1.44</v>
      </c>
      <c r="P258" s="119">
        <v>6.54E-2</v>
      </c>
      <c r="Q258" s="114"/>
      <c r="R258" s="114"/>
    </row>
    <row r="259" spans="1:18" ht="15" customHeight="1" x14ac:dyDescent="0.55000000000000004">
      <c r="A259" s="114" t="s">
        <v>672</v>
      </c>
      <c r="B259" s="115" t="s">
        <v>673</v>
      </c>
      <c r="C259" s="116" t="s">
        <v>634</v>
      </c>
      <c r="D259" s="114" t="s">
        <v>59</v>
      </c>
      <c r="E259" s="114" t="s">
        <v>80</v>
      </c>
      <c r="F259" s="114" t="s">
        <v>81</v>
      </c>
      <c r="G259" s="117">
        <v>42415</v>
      </c>
      <c r="H259" s="118">
        <v>29.82</v>
      </c>
      <c r="I259" s="118">
        <v>43.35</v>
      </c>
      <c r="J259" s="119">
        <v>1.4537</v>
      </c>
      <c r="K259" s="120">
        <v>35.24</v>
      </c>
      <c r="L259" s="119">
        <v>1.34E-2</v>
      </c>
      <c r="M259" s="120">
        <v>0.7</v>
      </c>
      <c r="N259" s="120">
        <v>1.7</v>
      </c>
      <c r="O259" s="118">
        <v>-0.15</v>
      </c>
      <c r="P259" s="119">
        <v>0.13370000000000001</v>
      </c>
      <c r="Q259" s="120">
        <v>20</v>
      </c>
      <c r="R259" s="118">
        <v>15.42</v>
      </c>
    </row>
    <row r="260" spans="1:18" ht="15" customHeight="1" x14ac:dyDescent="0.55000000000000004">
      <c r="A260" s="114" t="s">
        <v>906</v>
      </c>
      <c r="B260" s="115" t="s">
        <v>907</v>
      </c>
      <c r="C260" s="116" t="s">
        <v>829</v>
      </c>
      <c r="D260" s="114" t="s">
        <v>249</v>
      </c>
      <c r="E260" s="114" t="s">
        <v>80</v>
      </c>
      <c r="F260" s="114" t="s">
        <v>377</v>
      </c>
      <c r="G260" s="117">
        <v>42418</v>
      </c>
      <c r="H260" s="118">
        <v>41.97</v>
      </c>
      <c r="I260" s="118">
        <v>80.150000000000006</v>
      </c>
      <c r="J260" s="119">
        <v>1.9097</v>
      </c>
      <c r="K260" s="120">
        <v>27.64</v>
      </c>
      <c r="L260" s="119">
        <v>2.5000000000000001E-2</v>
      </c>
      <c r="M260" s="120">
        <v>1.4</v>
      </c>
      <c r="N260" s="120">
        <v>1.33</v>
      </c>
      <c r="O260" s="118">
        <v>-48.55</v>
      </c>
      <c r="P260" s="119">
        <v>9.5699999999999993E-2</v>
      </c>
      <c r="Q260" s="120">
        <v>14</v>
      </c>
      <c r="R260" s="118">
        <v>40.57</v>
      </c>
    </row>
    <row r="261" spans="1:18" ht="15" customHeight="1" x14ac:dyDescent="0.55000000000000004">
      <c r="A261" s="114" t="s">
        <v>554</v>
      </c>
      <c r="B261" s="115" t="s">
        <v>555</v>
      </c>
      <c r="C261" s="116" t="s">
        <v>479</v>
      </c>
      <c r="D261" s="114" t="s">
        <v>59</v>
      </c>
      <c r="E261" s="114" t="s">
        <v>80</v>
      </c>
      <c r="F261" s="114" t="s">
        <v>81</v>
      </c>
      <c r="G261" s="117">
        <v>42401</v>
      </c>
      <c r="H261" s="118">
        <v>123.38</v>
      </c>
      <c r="I261" s="118">
        <v>168.93</v>
      </c>
      <c r="J261" s="119">
        <v>1.3692</v>
      </c>
      <c r="K261" s="120">
        <v>32.49</v>
      </c>
      <c r="L261" s="114" t="s">
        <v>48</v>
      </c>
      <c r="M261" s="120">
        <v>1</v>
      </c>
      <c r="N261" s="120">
        <v>1.74</v>
      </c>
      <c r="O261" s="118">
        <v>-3.71</v>
      </c>
      <c r="P261" s="119">
        <v>0.11990000000000001</v>
      </c>
      <c r="Q261" s="120">
        <v>0</v>
      </c>
      <c r="R261" s="118">
        <v>67.650000000000006</v>
      </c>
    </row>
    <row r="262" spans="1:18" ht="15" customHeight="1" x14ac:dyDescent="0.55000000000000004">
      <c r="A262" s="114" t="s">
        <v>398</v>
      </c>
      <c r="B262" s="115" t="s">
        <v>399</v>
      </c>
      <c r="C262" s="116" t="s">
        <v>304</v>
      </c>
      <c r="D262" s="114" t="s">
        <v>249</v>
      </c>
      <c r="E262" s="114" t="s">
        <v>44</v>
      </c>
      <c r="F262" s="114" t="s">
        <v>250</v>
      </c>
      <c r="G262" s="117">
        <v>42065</v>
      </c>
      <c r="H262" s="118">
        <v>23.54</v>
      </c>
      <c r="I262" s="118">
        <v>15.95</v>
      </c>
      <c r="J262" s="119">
        <v>0.67759999999999998</v>
      </c>
      <c r="K262" s="120">
        <v>26.15</v>
      </c>
      <c r="L262" s="119">
        <v>5.0200000000000002E-2</v>
      </c>
      <c r="M262" s="120">
        <v>1.6</v>
      </c>
      <c r="N262" s="120">
        <v>1.71</v>
      </c>
      <c r="O262" s="118">
        <v>-5.82</v>
      </c>
      <c r="P262" s="119">
        <v>8.8200000000000001E-2</v>
      </c>
      <c r="Q262" s="114"/>
      <c r="R262" s="114"/>
    </row>
    <row r="263" spans="1:18" ht="15" customHeight="1" x14ac:dyDescent="0.55000000000000004">
      <c r="A263" s="114" t="s">
        <v>556</v>
      </c>
      <c r="B263" s="115" t="s">
        <v>557</v>
      </c>
      <c r="C263" s="116" t="s">
        <v>479</v>
      </c>
      <c r="D263" s="114" t="s">
        <v>249</v>
      </c>
      <c r="E263" s="114" t="s">
        <v>98</v>
      </c>
      <c r="F263" s="114" t="s">
        <v>412</v>
      </c>
      <c r="G263" s="117">
        <v>42029</v>
      </c>
      <c r="H263" s="118">
        <v>119.15</v>
      </c>
      <c r="I263" s="118">
        <v>92.27</v>
      </c>
      <c r="J263" s="119">
        <v>0.77439999999999998</v>
      </c>
      <c r="K263" s="120">
        <v>27.22</v>
      </c>
      <c r="L263" s="119">
        <v>2.53E-2</v>
      </c>
      <c r="M263" s="120">
        <v>0.2</v>
      </c>
      <c r="N263" s="120">
        <v>1.1599999999999999</v>
      </c>
      <c r="O263" s="118">
        <v>-8.2200000000000006</v>
      </c>
      <c r="P263" s="119">
        <v>9.3600000000000003E-2</v>
      </c>
      <c r="Q263" s="114"/>
      <c r="R263" s="114"/>
    </row>
    <row r="264" spans="1:18" ht="15" customHeight="1" x14ac:dyDescent="0.55000000000000004">
      <c r="A264" s="114" t="s">
        <v>558</v>
      </c>
      <c r="B264" s="115" t="s">
        <v>559</v>
      </c>
      <c r="C264" s="116" t="s">
        <v>479</v>
      </c>
      <c r="D264" s="114" t="s">
        <v>59</v>
      </c>
      <c r="E264" s="114" t="s">
        <v>80</v>
      </c>
      <c r="F264" s="114" t="s">
        <v>81</v>
      </c>
      <c r="G264" s="117">
        <v>42415</v>
      </c>
      <c r="H264" s="118">
        <v>97.14</v>
      </c>
      <c r="I264" s="118">
        <v>182.7</v>
      </c>
      <c r="J264" s="119">
        <v>1.8808</v>
      </c>
      <c r="K264" s="120">
        <v>22.89</v>
      </c>
      <c r="L264" s="119">
        <v>6.3E-3</v>
      </c>
      <c r="M264" s="120">
        <v>0.9</v>
      </c>
      <c r="N264" s="114" t="s">
        <v>48</v>
      </c>
      <c r="O264" s="114" t="s">
        <v>48</v>
      </c>
      <c r="P264" s="119">
        <v>7.1999999999999995E-2</v>
      </c>
      <c r="Q264" s="120">
        <v>6</v>
      </c>
      <c r="R264" s="118">
        <v>113.48</v>
      </c>
    </row>
    <row r="265" spans="1:18" ht="15" customHeight="1" x14ac:dyDescent="0.55000000000000004">
      <c r="A265" s="114" t="s">
        <v>247</v>
      </c>
      <c r="B265" s="115" t="s">
        <v>248</v>
      </c>
      <c r="C265" s="116" t="s">
        <v>215</v>
      </c>
      <c r="D265" s="114" t="s">
        <v>249</v>
      </c>
      <c r="E265" s="114" t="s">
        <v>44</v>
      </c>
      <c r="F265" s="114" t="s">
        <v>250</v>
      </c>
      <c r="G265" s="117">
        <v>42318</v>
      </c>
      <c r="H265" s="118">
        <v>200.54</v>
      </c>
      <c r="I265" s="118">
        <v>136.30000000000001</v>
      </c>
      <c r="J265" s="119">
        <v>0.67969999999999997</v>
      </c>
      <c r="K265" s="120">
        <v>10.130000000000001</v>
      </c>
      <c r="L265" s="119">
        <v>3.8199999999999998E-2</v>
      </c>
      <c r="M265" s="120">
        <v>0.6</v>
      </c>
      <c r="N265" s="120">
        <v>1.25</v>
      </c>
      <c r="O265" s="118">
        <v>-54.39</v>
      </c>
      <c r="P265" s="119">
        <v>8.0999999999999996E-3</v>
      </c>
      <c r="Q265" s="120">
        <v>20</v>
      </c>
      <c r="R265" s="118">
        <v>64.27</v>
      </c>
    </row>
    <row r="266" spans="1:18" ht="15" customHeight="1" x14ac:dyDescent="0.55000000000000004">
      <c r="A266" s="114" t="s">
        <v>1089</v>
      </c>
      <c r="B266" s="115" t="s">
        <v>1090</v>
      </c>
      <c r="C266" s="116" t="s">
        <v>98</v>
      </c>
      <c r="D266" s="114" t="s">
        <v>249</v>
      </c>
      <c r="E266" s="114" t="s">
        <v>80</v>
      </c>
      <c r="F266" s="114" t="s">
        <v>377</v>
      </c>
      <c r="G266" s="117">
        <v>42133</v>
      </c>
      <c r="H266" s="118">
        <v>186.8</v>
      </c>
      <c r="I266" s="118">
        <v>231.96</v>
      </c>
      <c r="J266" s="119">
        <v>1.2418</v>
      </c>
      <c r="K266" s="120">
        <v>28.96</v>
      </c>
      <c r="L266" s="119">
        <v>1.47E-2</v>
      </c>
      <c r="M266" s="120">
        <v>0.9</v>
      </c>
      <c r="N266" s="120">
        <v>0.99</v>
      </c>
      <c r="O266" s="118">
        <v>-50.4</v>
      </c>
      <c r="P266" s="119">
        <v>0.1023</v>
      </c>
      <c r="Q266" s="114"/>
      <c r="R266" s="114"/>
    </row>
    <row r="267" spans="1:18" ht="15" customHeight="1" x14ac:dyDescent="0.55000000000000004">
      <c r="A267" s="114" t="s">
        <v>251</v>
      </c>
      <c r="B267" s="115" t="s">
        <v>252</v>
      </c>
      <c r="C267" s="116" t="s">
        <v>215</v>
      </c>
      <c r="D267" s="114" t="s">
        <v>59</v>
      </c>
      <c r="E267" s="114" t="s">
        <v>98</v>
      </c>
      <c r="F267" s="114" t="s">
        <v>150</v>
      </c>
      <c r="G267" s="117">
        <v>42349</v>
      </c>
      <c r="H267" s="118">
        <v>111.02</v>
      </c>
      <c r="I267" s="118">
        <v>105.82</v>
      </c>
      <c r="J267" s="119">
        <v>0.95320000000000005</v>
      </c>
      <c r="K267" s="120">
        <v>23.05</v>
      </c>
      <c r="L267" s="119">
        <v>2.12E-2</v>
      </c>
      <c r="M267" s="120">
        <v>0.9</v>
      </c>
      <c r="N267" s="120">
        <v>2.38</v>
      </c>
      <c r="O267" s="118">
        <v>-8.44</v>
      </c>
      <c r="P267" s="119">
        <v>7.2800000000000004E-2</v>
      </c>
      <c r="Q267" s="120">
        <v>13</v>
      </c>
      <c r="R267" s="118">
        <v>48.47</v>
      </c>
    </row>
    <row r="268" spans="1:18" ht="15" customHeight="1" x14ac:dyDescent="0.55000000000000004">
      <c r="A268" s="114" t="s">
        <v>400</v>
      </c>
      <c r="B268" s="115" t="s">
        <v>401</v>
      </c>
      <c r="C268" s="116" t="s">
        <v>304</v>
      </c>
      <c r="D268" s="114" t="s">
        <v>59</v>
      </c>
      <c r="E268" s="114" t="s">
        <v>80</v>
      </c>
      <c r="F268" s="114" t="s">
        <v>81</v>
      </c>
      <c r="G268" s="117">
        <v>42374</v>
      </c>
      <c r="H268" s="118">
        <v>10.26</v>
      </c>
      <c r="I268" s="118">
        <v>17.670000000000002</v>
      </c>
      <c r="J268" s="119">
        <v>1.7222</v>
      </c>
      <c r="K268" s="120">
        <v>23.25</v>
      </c>
      <c r="L268" s="119">
        <v>1.7500000000000002E-2</v>
      </c>
      <c r="M268" s="120">
        <v>1</v>
      </c>
      <c r="N268" s="120">
        <v>3.73</v>
      </c>
      <c r="O268" s="118">
        <v>0.23</v>
      </c>
      <c r="P268" s="119">
        <v>7.3800000000000004E-2</v>
      </c>
      <c r="Q268" s="120">
        <v>8</v>
      </c>
      <c r="R268" s="118">
        <v>2.38</v>
      </c>
    </row>
    <row r="269" spans="1:18" ht="15" customHeight="1" x14ac:dyDescent="0.55000000000000004">
      <c r="A269" s="114" t="s">
        <v>173</v>
      </c>
      <c r="B269" s="115" t="s">
        <v>174</v>
      </c>
      <c r="C269" s="116" t="s">
        <v>142</v>
      </c>
      <c r="D269" s="114" t="s">
        <v>43</v>
      </c>
      <c r="E269" s="114" t="s">
        <v>98</v>
      </c>
      <c r="F269" s="114" t="s">
        <v>132</v>
      </c>
      <c r="G269" s="117">
        <v>42326</v>
      </c>
      <c r="H269" s="118">
        <v>37.07</v>
      </c>
      <c r="I269" s="118">
        <v>30.54</v>
      </c>
      <c r="J269" s="119">
        <v>0.82379999999999998</v>
      </c>
      <c r="K269" s="120">
        <v>14.07</v>
      </c>
      <c r="L269" s="119">
        <v>3.4099999999999998E-2</v>
      </c>
      <c r="M269" s="120">
        <v>1</v>
      </c>
      <c r="N269" s="120">
        <v>2.4</v>
      </c>
      <c r="O269" s="118">
        <v>-1.08</v>
      </c>
      <c r="P269" s="119">
        <v>2.7900000000000001E-2</v>
      </c>
      <c r="Q269" s="120">
        <v>1</v>
      </c>
      <c r="R269" s="118">
        <v>24.38</v>
      </c>
    </row>
    <row r="270" spans="1:18" ht="15" customHeight="1" x14ac:dyDescent="0.55000000000000004">
      <c r="A270" s="114" t="s">
        <v>1091</v>
      </c>
      <c r="B270" s="115" t="s">
        <v>1092</v>
      </c>
      <c r="C270" s="116" t="s">
        <v>98</v>
      </c>
      <c r="D270" s="114" t="s">
        <v>249</v>
      </c>
      <c r="E270" s="114" t="s">
        <v>80</v>
      </c>
      <c r="F270" s="114" t="s">
        <v>377</v>
      </c>
      <c r="G270" s="117">
        <v>42394</v>
      </c>
      <c r="H270" s="118">
        <v>47.82</v>
      </c>
      <c r="I270" s="118">
        <v>98.63</v>
      </c>
      <c r="J270" s="119">
        <v>2.0625</v>
      </c>
      <c r="K270" s="120">
        <v>36.94</v>
      </c>
      <c r="L270" s="119">
        <v>1.2200000000000001E-2</v>
      </c>
      <c r="M270" s="120">
        <v>1</v>
      </c>
      <c r="N270" s="120">
        <v>0.76</v>
      </c>
      <c r="O270" s="118">
        <v>-4.9800000000000004</v>
      </c>
      <c r="P270" s="119">
        <v>0.14219999999999999</v>
      </c>
      <c r="Q270" s="120">
        <v>2</v>
      </c>
      <c r="R270" s="118">
        <v>17.579999999999998</v>
      </c>
    </row>
    <row r="271" spans="1:18" ht="15" customHeight="1" x14ac:dyDescent="0.55000000000000004">
      <c r="A271" s="114" t="s">
        <v>402</v>
      </c>
      <c r="B271" s="115" t="s">
        <v>403</v>
      </c>
      <c r="C271" s="116" t="s">
        <v>304</v>
      </c>
      <c r="D271" s="114" t="s">
        <v>249</v>
      </c>
      <c r="E271" s="114" t="s">
        <v>44</v>
      </c>
      <c r="F271" s="114" t="s">
        <v>250</v>
      </c>
      <c r="G271" s="117">
        <v>42349</v>
      </c>
      <c r="H271" s="118">
        <v>56.59</v>
      </c>
      <c r="I271" s="118">
        <v>36.78</v>
      </c>
      <c r="J271" s="119">
        <v>0.64990000000000003</v>
      </c>
      <c r="K271" s="120">
        <v>16.059999999999999</v>
      </c>
      <c r="L271" s="119">
        <v>4.7899999999999998E-2</v>
      </c>
      <c r="M271" s="120">
        <v>1.5</v>
      </c>
      <c r="N271" s="120">
        <v>1.34</v>
      </c>
      <c r="O271" s="118">
        <v>-35.64</v>
      </c>
      <c r="P271" s="119">
        <v>3.78E-2</v>
      </c>
      <c r="Q271" s="120">
        <v>6</v>
      </c>
      <c r="R271" s="118">
        <v>25.01</v>
      </c>
    </row>
    <row r="272" spans="1:18" ht="15" customHeight="1" x14ac:dyDescent="0.55000000000000004">
      <c r="A272" s="114" t="s">
        <v>404</v>
      </c>
      <c r="B272" s="115" t="s">
        <v>405</v>
      </c>
      <c r="C272" s="116" t="s">
        <v>304</v>
      </c>
      <c r="D272" s="114" t="s">
        <v>249</v>
      </c>
      <c r="E272" s="114" t="s">
        <v>44</v>
      </c>
      <c r="F272" s="114" t="s">
        <v>250</v>
      </c>
      <c r="G272" s="117">
        <v>42102</v>
      </c>
      <c r="H272" s="118">
        <v>34.159999999999997</v>
      </c>
      <c r="I272" s="118">
        <v>21.34</v>
      </c>
      <c r="J272" s="119">
        <v>0.62470000000000003</v>
      </c>
      <c r="K272" s="120">
        <v>23.98</v>
      </c>
      <c r="L272" s="119">
        <v>2.81E-2</v>
      </c>
      <c r="M272" s="120">
        <v>1.9</v>
      </c>
      <c r="N272" s="120">
        <v>1.05</v>
      </c>
      <c r="O272" s="118">
        <v>-6.72</v>
      </c>
      <c r="P272" s="119">
        <v>7.7399999999999997E-2</v>
      </c>
      <c r="Q272" s="114"/>
      <c r="R272" s="114"/>
    </row>
    <row r="273" spans="1:18" ht="15" customHeight="1" x14ac:dyDescent="0.55000000000000004">
      <c r="A273" s="114" t="s">
        <v>560</v>
      </c>
      <c r="B273" s="115" t="s">
        <v>561</v>
      </c>
      <c r="C273" s="116" t="s">
        <v>479</v>
      </c>
      <c r="D273" s="114" t="s">
        <v>249</v>
      </c>
      <c r="E273" s="114" t="s">
        <v>44</v>
      </c>
      <c r="F273" s="114" t="s">
        <v>250</v>
      </c>
      <c r="G273" s="117">
        <v>42034</v>
      </c>
      <c r="H273" s="118">
        <v>103.13</v>
      </c>
      <c r="I273" s="118">
        <v>57.23</v>
      </c>
      <c r="J273" s="119">
        <v>0.55489999999999995</v>
      </c>
      <c r="K273" s="120">
        <v>21.35</v>
      </c>
      <c r="L273" s="119">
        <v>2.24E-2</v>
      </c>
      <c r="M273" s="120">
        <v>1.5</v>
      </c>
      <c r="N273" s="120">
        <v>1.25</v>
      </c>
      <c r="O273" s="118">
        <v>-19.96</v>
      </c>
      <c r="P273" s="119">
        <v>6.4299999999999996E-2</v>
      </c>
      <c r="Q273" s="114"/>
      <c r="R273" s="114"/>
    </row>
    <row r="274" spans="1:18" ht="15" customHeight="1" x14ac:dyDescent="0.55000000000000004">
      <c r="A274" s="114" t="s">
        <v>406</v>
      </c>
      <c r="B274" s="115" t="s">
        <v>407</v>
      </c>
      <c r="C274" s="116" t="s">
        <v>304</v>
      </c>
      <c r="D274" s="114" t="s">
        <v>249</v>
      </c>
      <c r="E274" s="114" t="s">
        <v>44</v>
      </c>
      <c r="F274" s="114" t="s">
        <v>250</v>
      </c>
      <c r="G274" s="117">
        <v>42148</v>
      </c>
      <c r="H274" s="118">
        <v>41.8</v>
      </c>
      <c r="I274" s="118">
        <v>29.99</v>
      </c>
      <c r="J274" s="119">
        <v>0.71750000000000003</v>
      </c>
      <c r="K274" s="120">
        <v>19.989999999999998</v>
      </c>
      <c r="L274" s="119">
        <v>6.4699999999999994E-2</v>
      </c>
      <c r="M274" s="120">
        <v>0.5</v>
      </c>
      <c r="N274" s="120">
        <v>1.23</v>
      </c>
      <c r="O274" s="118">
        <v>-22.35</v>
      </c>
      <c r="P274" s="119">
        <v>5.7500000000000002E-2</v>
      </c>
      <c r="Q274" s="114"/>
      <c r="R274" s="114"/>
    </row>
    <row r="275" spans="1:18" ht="15" customHeight="1" x14ac:dyDescent="0.55000000000000004">
      <c r="A275" s="114" t="s">
        <v>562</v>
      </c>
      <c r="B275" s="115" t="s">
        <v>563</v>
      </c>
      <c r="C275" s="116" t="s">
        <v>479</v>
      </c>
      <c r="D275" s="114" t="s">
        <v>59</v>
      </c>
      <c r="E275" s="114" t="s">
        <v>80</v>
      </c>
      <c r="F275" s="114" t="s">
        <v>81</v>
      </c>
      <c r="G275" s="117">
        <v>42399</v>
      </c>
      <c r="H275" s="118">
        <v>296.13</v>
      </c>
      <c r="I275" s="118">
        <v>573.80999999999995</v>
      </c>
      <c r="J275" s="119">
        <v>1.9377</v>
      </c>
      <c r="K275" s="120">
        <v>36.619999999999997</v>
      </c>
      <c r="L275" s="114" t="s">
        <v>48</v>
      </c>
      <c r="M275" s="120">
        <v>0.7</v>
      </c>
      <c r="N275" s="120">
        <v>6.65</v>
      </c>
      <c r="O275" s="118">
        <v>89.07</v>
      </c>
      <c r="P275" s="119">
        <v>0.1406</v>
      </c>
      <c r="Q275" s="120">
        <v>0</v>
      </c>
      <c r="R275" s="118">
        <v>221.73</v>
      </c>
    </row>
    <row r="276" spans="1:18" ht="15" customHeight="1" x14ac:dyDescent="0.55000000000000004">
      <c r="A276" s="114" t="s">
        <v>51</v>
      </c>
      <c r="B276" s="115" t="s">
        <v>52</v>
      </c>
      <c r="C276" s="116" t="s">
        <v>42</v>
      </c>
      <c r="D276" s="114" t="s">
        <v>43</v>
      </c>
      <c r="E276" s="114" t="s">
        <v>44</v>
      </c>
      <c r="F276" s="114" t="s">
        <v>45</v>
      </c>
      <c r="G276" s="117">
        <v>42374</v>
      </c>
      <c r="H276" s="118">
        <v>164.31</v>
      </c>
      <c r="I276" s="118">
        <v>97.02</v>
      </c>
      <c r="J276" s="119">
        <v>0.59050000000000002</v>
      </c>
      <c r="K276" s="120">
        <v>17.739999999999998</v>
      </c>
      <c r="L276" s="119">
        <v>2.2700000000000001E-2</v>
      </c>
      <c r="M276" s="120">
        <v>1.2</v>
      </c>
      <c r="N276" s="120">
        <v>2.56</v>
      </c>
      <c r="O276" s="118">
        <v>-11.03</v>
      </c>
      <c r="P276" s="119">
        <v>4.6199999999999998E-2</v>
      </c>
      <c r="Q276" s="120">
        <v>20</v>
      </c>
      <c r="R276" s="118">
        <v>39.99</v>
      </c>
    </row>
    <row r="277" spans="1:18" ht="15" customHeight="1" x14ac:dyDescent="0.55000000000000004">
      <c r="A277" s="114" t="s">
        <v>53</v>
      </c>
      <c r="B277" s="115" t="s">
        <v>54</v>
      </c>
      <c r="C277" s="116" t="s">
        <v>42</v>
      </c>
      <c r="D277" s="114" t="s">
        <v>43</v>
      </c>
      <c r="E277" s="114" t="s">
        <v>44</v>
      </c>
      <c r="F277" s="114" t="s">
        <v>45</v>
      </c>
      <c r="G277" s="117">
        <v>42394</v>
      </c>
      <c r="H277" s="118">
        <v>64.97</v>
      </c>
      <c r="I277" s="118">
        <v>28.23</v>
      </c>
      <c r="J277" s="119">
        <v>0.4345</v>
      </c>
      <c r="K277" s="120">
        <v>13.32</v>
      </c>
      <c r="L277" s="119">
        <v>3.8300000000000001E-2</v>
      </c>
      <c r="M277" s="120">
        <v>1.9</v>
      </c>
      <c r="N277" s="120">
        <v>0.62</v>
      </c>
      <c r="O277" s="118">
        <v>-28.64</v>
      </c>
      <c r="P277" s="119">
        <v>2.41E-2</v>
      </c>
      <c r="Q277" s="120">
        <v>6</v>
      </c>
      <c r="R277" s="118">
        <v>31.84</v>
      </c>
    </row>
    <row r="278" spans="1:18" ht="15" customHeight="1" x14ac:dyDescent="0.55000000000000004">
      <c r="A278" s="114" t="s">
        <v>564</v>
      </c>
      <c r="B278" s="115" t="s">
        <v>565</v>
      </c>
      <c r="C278" s="116" t="s">
        <v>479</v>
      </c>
      <c r="D278" s="114" t="s">
        <v>249</v>
      </c>
      <c r="E278" s="114" t="s">
        <v>44</v>
      </c>
      <c r="F278" s="114" t="s">
        <v>250</v>
      </c>
      <c r="G278" s="117">
        <v>42048</v>
      </c>
      <c r="H278" s="118">
        <v>64.3</v>
      </c>
      <c r="I278" s="118">
        <v>21.52</v>
      </c>
      <c r="J278" s="119">
        <v>0.3347</v>
      </c>
      <c r="K278" s="120">
        <v>12.89</v>
      </c>
      <c r="L278" s="119">
        <v>1.49E-2</v>
      </c>
      <c r="M278" s="120">
        <v>1</v>
      </c>
      <c r="N278" s="120">
        <v>1.21</v>
      </c>
      <c r="O278" s="118">
        <v>-4.5999999999999996</v>
      </c>
      <c r="P278" s="119">
        <v>2.1899999999999999E-2</v>
      </c>
      <c r="Q278" s="114"/>
      <c r="R278" s="114"/>
    </row>
    <row r="279" spans="1:18" ht="15" customHeight="1" x14ac:dyDescent="0.55000000000000004">
      <c r="A279" s="114" t="s">
        <v>408</v>
      </c>
      <c r="B279" s="115" t="s">
        <v>409</v>
      </c>
      <c r="C279" s="116" t="s">
        <v>304</v>
      </c>
      <c r="D279" s="114" t="s">
        <v>249</v>
      </c>
      <c r="E279" s="114" t="s">
        <v>44</v>
      </c>
      <c r="F279" s="114" t="s">
        <v>250</v>
      </c>
      <c r="G279" s="117">
        <v>42057</v>
      </c>
      <c r="H279" s="118">
        <v>61.55</v>
      </c>
      <c r="I279" s="118">
        <v>37.520000000000003</v>
      </c>
      <c r="J279" s="119">
        <v>0.60960000000000003</v>
      </c>
      <c r="K279" s="120">
        <v>16.239999999999998</v>
      </c>
      <c r="L279" s="119">
        <v>3.09E-2</v>
      </c>
      <c r="M279" s="120">
        <v>1.7</v>
      </c>
      <c r="N279" s="120">
        <v>1.0900000000000001</v>
      </c>
      <c r="O279" s="118">
        <v>-12.73</v>
      </c>
      <c r="P279" s="119">
        <v>3.8699999999999998E-2</v>
      </c>
      <c r="Q279" s="114"/>
      <c r="R279" s="114"/>
    </row>
    <row r="280" spans="1:18" ht="15" customHeight="1" x14ac:dyDescent="0.55000000000000004">
      <c r="A280" s="114" t="s">
        <v>253</v>
      </c>
      <c r="B280" s="115" t="s">
        <v>254</v>
      </c>
      <c r="C280" s="116" t="s">
        <v>215</v>
      </c>
      <c r="D280" s="114" t="s">
        <v>59</v>
      </c>
      <c r="E280" s="114" t="s">
        <v>80</v>
      </c>
      <c r="F280" s="114" t="s">
        <v>81</v>
      </c>
      <c r="G280" s="117">
        <v>42396</v>
      </c>
      <c r="H280" s="118">
        <v>24.3</v>
      </c>
      <c r="I280" s="118">
        <v>39.979999999999997</v>
      </c>
      <c r="J280" s="119">
        <v>1.6453</v>
      </c>
      <c r="K280" s="120">
        <v>14.54</v>
      </c>
      <c r="L280" s="114" t="s">
        <v>48</v>
      </c>
      <c r="M280" s="120">
        <v>1.6</v>
      </c>
      <c r="N280" s="120">
        <v>1.66</v>
      </c>
      <c r="O280" s="118">
        <v>-1.72</v>
      </c>
      <c r="P280" s="119">
        <v>3.0200000000000001E-2</v>
      </c>
      <c r="Q280" s="120">
        <v>0</v>
      </c>
      <c r="R280" s="118">
        <v>48.18</v>
      </c>
    </row>
    <row r="281" spans="1:18" ht="15" customHeight="1" x14ac:dyDescent="0.55000000000000004">
      <c r="A281" s="114" t="s">
        <v>322</v>
      </c>
      <c r="B281" s="115" t="s">
        <v>323</v>
      </c>
      <c r="C281" s="116" t="s">
        <v>297</v>
      </c>
      <c r="D281" s="114" t="s">
        <v>43</v>
      </c>
      <c r="E281" s="114" t="s">
        <v>80</v>
      </c>
      <c r="F281" s="114" t="s">
        <v>145</v>
      </c>
      <c r="G281" s="117">
        <v>42377</v>
      </c>
      <c r="H281" s="118">
        <v>79.55</v>
      </c>
      <c r="I281" s="118">
        <v>107.05</v>
      </c>
      <c r="J281" s="119">
        <v>1.3456999999999999</v>
      </c>
      <c r="K281" s="120">
        <v>20.83</v>
      </c>
      <c r="L281" s="119">
        <v>2.8000000000000001E-2</v>
      </c>
      <c r="M281" s="120">
        <v>0.6</v>
      </c>
      <c r="N281" s="120">
        <v>2.5099999999999998</v>
      </c>
      <c r="O281" s="118">
        <v>0.63</v>
      </c>
      <c r="P281" s="119">
        <v>6.1600000000000002E-2</v>
      </c>
      <c r="Q281" s="120">
        <v>20</v>
      </c>
      <c r="R281" s="118">
        <v>57.74</v>
      </c>
    </row>
    <row r="282" spans="1:18" ht="15" customHeight="1" x14ac:dyDescent="0.55000000000000004">
      <c r="A282" s="114" t="s">
        <v>1093</v>
      </c>
      <c r="B282" s="115" t="s">
        <v>1094</v>
      </c>
      <c r="C282" s="116" t="s">
        <v>98</v>
      </c>
      <c r="D282" s="114" t="s">
        <v>249</v>
      </c>
      <c r="E282" s="114" t="s">
        <v>80</v>
      </c>
      <c r="F282" s="114" t="s">
        <v>377</v>
      </c>
      <c r="G282" s="117">
        <v>42033</v>
      </c>
      <c r="H282" s="118">
        <v>0</v>
      </c>
      <c r="I282" s="118">
        <v>24.94</v>
      </c>
      <c r="J282" s="114" t="s">
        <v>48</v>
      </c>
      <c r="K282" s="120">
        <v>103.92</v>
      </c>
      <c r="L282" s="119">
        <v>1.6E-2</v>
      </c>
      <c r="M282" s="120">
        <v>2</v>
      </c>
      <c r="N282" s="120">
        <v>1.95</v>
      </c>
      <c r="O282" s="118">
        <v>-1.2</v>
      </c>
      <c r="P282" s="119">
        <v>0.47710000000000002</v>
      </c>
      <c r="Q282" s="114"/>
      <c r="R282" s="114"/>
    </row>
    <row r="283" spans="1:18" ht="15" customHeight="1" x14ac:dyDescent="0.55000000000000004">
      <c r="A283" s="114" t="s">
        <v>1095</v>
      </c>
      <c r="B283" s="115" t="s">
        <v>1096</v>
      </c>
      <c r="C283" s="116" t="s">
        <v>98</v>
      </c>
      <c r="D283" s="114" t="s">
        <v>249</v>
      </c>
      <c r="E283" s="114" t="s">
        <v>80</v>
      </c>
      <c r="F283" s="114" t="s">
        <v>377</v>
      </c>
      <c r="G283" s="117">
        <v>42405</v>
      </c>
      <c r="H283" s="118">
        <v>0</v>
      </c>
      <c r="I283" s="118">
        <v>13.33</v>
      </c>
      <c r="J283" s="114" t="s">
        <v>48</v>
      </c>
      <c r="K283" s="114" t="s">
        <v>48</v>
      </c>
      <c r="L283" s="119">
        <v>3.0000000000000001E-3</v>
      </c>
      <c r="M283" s="120">
        <v>2.2000000000000002</v>
      </c>
      <c r="N283" s="120">
        <v>2.27</v>
      </c>
      <c r="O283" s="118">
        <v>-2.29</v>
      </c>
      <c r="P283" s="119">
        <v>-9.2999999999999999E-2</v>
      </c>
      <c r="Q283" s="120">
        <v>3</v>
      </c>
      <c r="R283" s="118">
        <v>9.23</v>
      </c>
    </row>
    <row r="284" spans="1:18" ht="15" customHeight="1" x14ac:dyDescent="0.55000000000000004">
      <c r="A284" s="114" t="s">
        <v>55</v>
      </c>
      <c r="B284" s="115" t="s">
        <v>56</v>
      </c>
      <c r="C284" s="116" t="s">
        <v>42</v>
      </c>
      <c r="D284" s="114" t="s">
        <v>43</v>
      </c>
      <c r="E284" s="114" t="s">
        <v>44</v>
      </c>
      <c r="F284" s="114" t="s">
        <v>45</v>
      </c>
      <c r="G284" s="117">
        <v>42394</v>
      </c>
      <c r="H284" s="118">
        <v>101.46</v>
      </c>
      <c r="I284" s="118">
        <v>59.74</v>
      </c>
      <c r="J284" s="119">
        <v>0.58879999999999999</v>
      </c>
      <c r="K284" s="120">
        <v>10.9</v>
      </c>
      <c r="L284" s="119">
        <v>2.9499999999999998E-2</v>
      </c>
      <c r="M284" s="120">
        <v>1.7</v>
      </c>
      <c r="N284" s="114" t="s">
        <v>48</v>
      </c>
      <c r="O284" s="114" t="s">
        <v>48</v>
      </c>
      <c r="P284" s="119">
        <v>1.2E-2</v>
      </c>
      <c r="Q284" s="120">
        <v>6</v>
      </c>
      <c r="R284" s="118">
        <v>88.61</v>
      </c>
    </row>
    <row r="285" spans="1:18" ht="15" customHeight="1" x14ac:dyDescent="0.55000000000000004">
      <c r="A285" s="114" t="s">
        <v>175</v>
      </c>
      <c r="B285" s="115" t="s">
        <v>176</v>
      </c>
      <c r="C285" s="116" t="s">
        <v>142</v>
      </c>
      <c r="D285" s="114" t="s">
        <v>59</v>
      </c>
      <c r="E285" s="114" t="s">
        <v>44</v>
      </c>
      <c r="F285" s="114" t="s">
        <v>60</v>
      </c>
      <c r="G285" s="117">
        <v>42305</v>
      </c>
      <c r="H285" s="118">
        <v>76.78</v>
      </c>
      <c r="I285" s="118">
        <v>52.75</v>
      </c>
      <c r="J285" s="119">
        <v>0.68700000000000006</v>
      </c>
      <c r="K285" s="120">
        <v>14.3</v>
      </c>
      <c r="L285" s="119">
        <v>2.81E-2</v>
      </c>
      <c r="M285" s="120">
        <v>0.9</v>
      </c>
      <c r="N285" s="120">
        <v>1.57</v>
      </c>
      <c r="O285" s="118">
        <v>-9.18</v>
      </c>
      <c r="P285" s="119">
        <v>2.9000000000000001E-2</v>
      </c>
      <c r="Q285" s="120">
        <v>6</v>
      </c>
      <c r="R285" s="118">
        <v>33.729999999999997</v>
      </c>
    </row>
    <row r="286" spans="1:18" ht="15" customHeight="1" x14ac:dyDescent="0.55000000000000004">
      <c r="A286" s="114" t="s">
        <v>908</v>
      </c>
      <c r="B286" s="115" t="s">
        <v>909</v>
      </c>
      <c r="C286" s="116" t="s">
        <v>829</v>
      </c>
      <c r="D286" s="114" t="s">
        <v>249</v>
      </c>
      <c r="E286" s="114" t="s">
        <v>80</v>
      </c>
      <c r="F286" s="114" t="s">
        <v>377</v>
      </c>
      <c r="G286" s="117">
        <v>42049</v>
      </c>
      <c r="H286" s="118">
        <v>21.56</v>
      </c>
      <c r="I286" s="118">
        <v>75.09</v>
      </c>
      <c r="J286" s="119">
        <v>3.4828000000000001</v>
      </c>
      <c r="K286" s="120">
        <v>25.2</v>
      </c>
      <c r="L286" s="119">
        <v>2.6599999999999999E-2</v>
      </c>
      <c r="M286" s="120">
        <v>0.5</v>
      </c>
      <c r="N286" s="120">
        <v>0.77</v>
      </c>
      <c r="O286" s="118">
        <v>-25.36</v>
      </c>
      <c r="P286" s="119">
        <v>8.3500000000000005E-2</v>
      </c>
      <c r="Q286" s="114"/>
      <c r="R286" s="114"/>
    </row>
    <row r="287" spans="1:18" ht="15" customHeight="1" x14ac:dyDescent="0.55000000000000004">
      <c r="A287" s="114" t="s">
        <v>108</v>
      </c>
      <c r="B287" s="115" t="s">
        <v>109</v>
      </c>
      <c r="C287" s="116" t="s">
        <v>79</v>
      </c>
      <c r="D287" s="114" t="s">
        <v>59</v>
      </c>
      <c r="E287" s="114" t="s">
        <v>44</v>
      </c>
      <c r="F287" s="114" t="s">
        <v>60</v>
      </c>
      <c r="G287" s="117">
        <v>42335</v>
      </c>
      <c r="H287" s="118">
        <v>37.78</v>
      </c>
      <c r="I287" s="118">
        <v>11.31</v>
      </c>
      <c r="J287" s="119">
        <v>0.2994</v>
      </c>
      <c r="K287" s="120">
        <v>11.54</v>
      </c>
      <c r="L287" s="119">
        <v>2.6499999999999999E-2</v>
      </c>
      <c r="M287" s="120">
        <v>1.3</v>
      </c>
      <c r="N287" s="114" t="s">
        <v>48</v>
      </c>
      <c r="O287" s="114" t="s">
        <v>48</v>
      </c>
      <c r="P287" s="119">
        <v>1.52E-2</v>
      </c>
      <c r="Q287" s="120">
        <v>5</v>
      </c>
      <c r="R287" s="118">
        <v>17.03</v>
      </c>
    </row>
    <row r="288" spans="1:18" ht="15" customHeight="1" x14ac:dyDescent="0.55000000000000004">
      <c r="A288" s="114" t="s">
        <v>177</v>
      </c>
      <c r="B288" s="115" t="s">
        <v>178</v>
      </c>
      <c r="C288" s="116" t="s">
        <v>142</v>
      </c>
      <c r="D288" s="114" t="s">
        <v>59</v>
      </c>
      <c r="E288" s="114" t="s">
        <v>44</v>
      </c>
      <c r="F288" s="114" t="s">
        <v>60</v>
      </c>
      <c r="G288" s="117">
        <v>42416</v>
      </c>
      <c r="H288" s="118">
        <v>49.92</v>
      </c>
      <c r="I288" s="118">
        <v>27.5</v>
      </c>
      <c r="J288" s="119">
        <v>0.55089999999999995</v>
      </c>
      <c r="K288" s="120">
        <v>21.15</v>
      </c>
      <c r="L288" s="119">
        <v>3.7100000000000001E-2</v>
      </c>
      <c r="M288" s="120">
        <v>1.1000000000000001</v>
      </c>
      <c r="N288" s="120">
        <v>3.44</v>
      </c>
      <c r="O288" s="118">
        <v>-14.29</v>
      </c>
      <c r="P288" s="119">
        <v>6.3299999999999995E-2</v>
      </c>
      <c r="Q288" s="120">
        <v>6</v>
      </c>
      <c r="R288" s="118">
        <v>20.3</v>
      </c>
    </row>
    <row r="289" spans="1:18" ht="15" customHeight="1" x14ac:dyDescent="0.55000000000000004">
      <c r="A289" s="114" t="s">
        <v>179</v>
      </c>
      <c r="B289" s="115" t="s">
        <v>180</v>
      </c>
      <c r="C289" s="116" t="s">
        <v>142</v>
      </c>
      <c r="D289" s="114" t="s">
        <v>59</v>
      </c>
      <c r="E289" s="114" t="s">
        <v>44</v>
      </c>
      <c r="F289" s="114" t="s">
        <v>60</v>
      </c>
      <c r="G289" s="117">
        <v>42415</v>
      </c>
      <c r="H289" s="118">
        <v>47.53</v>
      </c>
      <c r="I289" s="118">
        <v>12.78</v>
      </c>
      <c r="J289" s="119">
        <v>0.26889999999999997</v>
      </c>
      <c r="K289" s="120">
        <v>10.39</v>
      </c>
      <c r="L289" s="119">
        <v>5.0099999999999999E-2</v>
      </c>
      <c r="M289" s="120">
        <v>1.9</v>
      </c>
      <c r="N289" s="114" t="s">
        <v>48</v>
      </c>
      <c r="O289" s="114" t="s">
        <v>48</v>
      </c>
      <c r="P289" s="119">
        <v>9.4999999999999998E-3</v>
      </c>
      <c r="Q289" s="120">
        <v>0</v>
      </c>
      <c r="R289" s="118">
        <v>7.41</v>
      </c>
    </row>
    <row r="290" spans="1:18" ht="15" customHeight="1" x14ac:dyDescent="0.55000000000000004">
      <c r="A290" s="114" t="s">
        <v>674</v>
      </c>
      <c r="B290" s="115" t="s">
        <v>675</v>
      </c>
      <c r="C290" s="116" t="s">
        <v>634</v>
      </c>
      <c r="D290" s="114" t="s">
        <v>59</v>
      </c>
      <c r="E290" s="114" t="s">
        <v>80</v>
      </c>
      <c r="F290" s="114" t="s">
        <v>81</v>
      </c>
      <c r="G290" s="117">
        <v>42375</v>
      </c>
      <c r="H290" s="118">
        <v>38.6</v>
      </c>
      <c r="I290" s="118">
        <v>68.42</v>
      </c>
      <c r="J290" s="119">
        <v>1.7725</v>
      </c>
      <c r="K290" s="120">
        <v>22.36</v>
      </c>
      <c r="L290" s="119">
        <v>3.04E-2</v>
      </c>
      <c r="M290" s="120">
        <v>1.5</v>
      </c>
      <c r="N290" s="120">
        <v>4.0199999999999996</v>
      </c>
      <c r="O290" s="118">
        <v>-3.81</v>
      </c>
      <c r="P290" s="119">
        <v>6.93E-2</v>
      </c>
      <c r="Q290" s="120">
        <v>6</v>
      </c>
      <c r="R290" s="118">
        <v>11.54</v>
      </c>
    </row>
    <row r="291" spans="1:18" ht="15" customHeight="1" x14ac:dyDescent="0.55000000000000004">
      <c r="A291" s="114" t="s">
        <v>776</v>
      </c>
      <c r="B291" s="115" t="s">
        <v>777</v>
      </c>
      <c r="C291" s="116" t="s">
        <v>43</v>
      </c>
      <c r="D291" s="114" t="s">
        <v>249</v>
      </c>
      <c r="E291" s="114" t="s">
        <v>80</v>
      </c>
      <c r="F291" s="114" t="s">
        <v>377</v>
      </c>
      <c r="G291" s="117">
        <v>42041</v>
      </c>
      <c r="H291" s="118">
        <v>47.33</v>
      </c>
      <c r="I291" s="118">
        <v>131.57</v>
      </c>
      <c r="J291" s="119">
        <v>2.7797999999999998</v>
      </c>
      <c r="K291" s="120">
        <v>29.04</v>
      </c>
      <c r="L291" s="119">
        <v>2.8000000000000001E-2</v>
      </c>
      <c r="M291" s="120">
        <v>0.3</v>
      </c>
      <c r="N291" s="120">
        <v>0.89</v>
      </c>
      <c r="O291" s="118">
        <v>-24.77</v>
      </c>
      <c r="P291" s="119">
        <v>0.1027</v>
      </c>
      <c r="Q291" s="114"/>
      <c r="R291" s="114"/>
    </row>
    <row r="292" spans="1:18" ht="15" customHeight="1" x14ac:dyDescent="0.55000000000000004">
      <c r="A292" s="114" t="s">
        <v>566</v>
      </c>
      <c r="B292" s="115" t="s">
        <v>567</v>
      </c>
      <c r="C292" s="116" t="s">
        <v>479</v>
      </c>
      <c r="D292" s="114" t="s">
        <v>249</v>
      </c>
      <c r="E292" s="114" t="s">
        <v>44</v>
      </c>
      <c r="F292" s="114" t="s">
        <v>250</v>
      </c>
      <c r="G292" s="117">
        <v>42250</v>
      </c>
      <c r="H292" s="118">
        <v>30</v>
      </c>
      <c r="I292" s="118">
        <v>18.63</v>
      </c>
      <c r="J292" s="119">
        <v>0.621</v>
      </c>
      <c r="K292" s="120">
        <v>23.88</v>
      </c>
      <c r="L292" s="119">
        <v>2.6800000000000001E-2</v>
      </c>
      <c r="M292" s="120">
        <v>0.7</v>
      </c>
      <c r="N292" s="120">
        <v>0.45</v>
      </c>
      <c r="O292" s="118">
        <v>-21.72</v>
      </c>
      <c r="P292" s="119">
        <v>7.6899999999999996E-2</v>
      </c>
      <c r="Q292" s="120">
        <v>5</v>
      </c>
      <c r="R292" s="118">
        <v>15.45</v>
      </c>
    </row>
    <row r="293" spans="1:18" ht="15" customHeight="1" x14ac:dyDescent="0.55000000000000004">
      <c r="A293" s="114" t="s">
        <v>910</v>
      </c>
      <c r="B293" s="115" t="s">
        <v>911</v>
      </c>
      <c r="C293" s="116" t="s">
        <v>829</v>
      </c>
      <c r="D293" s="114" t="s">
        <v>249</v>
      </c>
      <c r="E293" s="114" t="s">
        <v>44</v>
      </c>
      <c r="F293" s="114" t="s">
        <v>250</v>
      </c>
      <c r="G293" s="117">
        <v>42103</v>
      </c>
      <c r="H293" s="118">
        <v>84.12</v>
      </c>
      <c r="I293" s="118">
        <v>47.72</v>
      </c>
      <c r="J293" s="119">
        <v>0.56730000000000003</v>
      </c>
      <c r="K293" s="120">
        <v>21.59</v>
      </c>
      <c r="L293" s="114" t="s">
        <v>48</v>
      </c>
      <c r="M293" s="120">
        <v>1.4</v>
      </c>
      <c r="N293" s="120">
        <v>2.61</v>
      </c>
      <c r="O293" s="118">
        <v>-34.96</v>
      </c>
      <c r="P293" s="119">
        <v>6.5500000000000003E-2</v>
      </c>
      <c r="Q293" s="114"/>
      <c r="R293" s="114"/>
    </row>
    <row r="294" spans="1:18" ht="15" customHeight="1" x14ac:dyDescent="0.55000000000000004">
      <c r="A294" s="114" t="s">
        <v>912</v>
      </c>
      <c r="B294" s="115" t="s">
        <v>913</v>
      </c>
      <c r="C294" s="116" t="s">
        <v>829</v>
      </c>
      <c r="D294" s="114" t="s">
        <v>249</v>
      </c>
      <c r="E294" s="114" t="s">
        <v>80</v>
      </c>
      <c r="F294" s="114" t="s">
        <v>377</v>
      </c>
      <c r="G294" s="117">
        <v>42066</v>
      </c>
      <c r="H294" s="118">
        <v>19.68</v>
      </c>
      <c r="I294" s="118">
        <v>43.77</v>
      </c>
      <c r="J294" s="119">
        <v>2.2241</v>
      </c>
      <c r="K294" s="120">
        <v>23.66</v>
      </c>
      <c r="L294" s="119">
        <v>3.2000000000000001E-2</v>
      </c>
      <c r="M294" s="120">
        <v>0.5</v>
      </c>
      <c r="N294" s="120">
        <v>1.02</v>
      </c>
      <c r="O294" s="118">
        <v>0.14000000000000001</v>
      </c>
      <c r="P294" s="119">
        <v>7.5800000000000006E-2</v>
      </c>
      <c r="Q294" s="114"/>
      <c r="R294" s="114"/>
    </row>
    <row r="295" spans="1:18" ht="15" customHeight="1" x14ac:dyDescent="0.55000000000000004">
      <c r="A295" s="114" t="s">
        <v>255</v>
      </c>
      <c r="B295" s="115" t="s">
        <v>256</v>
      </c>
      <c r="C295" s="116" t="s">
        <v>215</v>
      </c>
      <c r="D295" s="114" t="s">
        <v>59</v>
      </c>
      <c r="E295" s="114" t="s">
        <v>44</v>
      </c>
      <c r="F295" s="114" t="s">
        <v>60</v>
      </c>
      <c r="G295" s="117">
        <v>42374</v>
      </c>
      <c r="H295" s="118">
        <v>133.34</v>
      </c>
      <c r="I295" s="118">
        <v>57.84</v>
      </c>
      <c r="J295" s="119">
        <v>0.43380000000000002</v>
      </c>
      <c r="K295" s="120">
        <v>16.72</v>
      </c>
      <c r="L295" s="114" t="s">
        <v>48</v>
      </c>
      <c r="M295" s="120">
        <v>1</v>
      </c>
      <c r="N295" s="120">
        <v>4.2</v>
      </c>
      <c r="O295" s="118">
        <v>5.68</v>
      </c>
      <c r="P295" s="119">
        <v>4.1099999999999998E-2</v>
      </c>
      <c r="Q295" s="120">
        <v>0</v>
      </c>
      <c r="R295" s="118">
        <v>30.7</v>
      </c>
    </row>
    <row r="296" spans="1:18" ht="15" customHeight="1" x14ac:dyDescent="0.55000000000000004">
      <c r="A296" s="114" t="s">
        <v>914</v>
      </c>
      <c r="B296" s="115" t="s">
        <v>915</v>
      </c>
      <c r="C296" s="116" t="s">
        <v>829</v>
      </c>
      <c r="D296" s="114" t="s">
        <v>249</v>
      </c>
      <c r="E296" s="114" t="s">
        <v>44</v>
      </c>
      <c r="F296" s="114" t="s">
        <v>250</v>
      </c>
      <c r="G296" s="117">
        <v>42202</v>
      </c>
      <c r="H296" s="118">
        <v>61.91</v>
      </c>
      <c r="I296" s="118">
        <v>40.67</v>
      </c>
      <c r="J296" s="119">
        <v>0.65690000000000004</v>
      </c>
      <c r="K296" s="120">
        <v>25.26</v>
      </c>
      <c r="L296" s="119">
        <v>1.03E-2</v>
      </c>
      <c r="M296" s="120">
        <v>0.8</v>
      </c>
      <c r="N296" s="120">
        <v>0.76</v>
      </c>
      <c r="O296" s="118">
        <v>-16.59</v>
      </c>
      <c r="P296" s="119">
        <v>8.3799999999999999E-2</v>
      </c>
      <c r="Q296" s="114"/>
      <c r="R296" s="114"/>
    </row>
    <row r="297" spans="1:18" ht="15" customHeight="1" x14ac:dyDescent="0.55000000000000004">
      <c r="A297" s="114" t="s">
        <v>916</v>
      </c>
      <c r="B297" s="115" t="s">
        <v>917</v>
      </c>
      <c r="C297" s="116" t="s">
        <v>829</v>
      </c>
      <c r="D297" s="114" t="s">
        <v>249</v>
      </c>
      <c r="E297" s="114" t="s">
        <v>80</v>
      </c>
      <c r="F297" s="114" t="s">
        <v>377</v>
      </c>
      <c r="G297" s="117">
        <v>42326</v>
      </c>
      <c r="H297" s="118">
        <v>22.02</v>
      </c>
      <c r="I297" s="118">
        <v>46.64</v>
      </c>
      <c r="J297" s="119">
        <v>2.1181000000000001</v>
      </c>
      <c r="K297" s="120">
        <v>13.68</v>
      </c>
      <c r="L297" s="119">
        <v>4.2900000000000001E-2</v>
      </c>
      <c r="M297" s="120">
        <v>0.9</v>
      </c>
      <c r="N297" s="120">
        <v>1.57</v>
      </c>
      <c r="O297" s="118">
        <v>-16.43</v>
      </c>
      <c r="P297" s="119">
        <v>2.5899999999999999E-2</v>
      </c>
      <c r="Q297" s="120">
        <v>5</v>
      </c>
      <c r="R297" s="118">
        <v>34.28</v>
      </c>
    </row>
    <row r="298" spans="1:18" ht="15" customHeight="1" x14ac:dyDescent="0.55000000000000004">
      <c r="A298" s="114" t="s">
        <v>918</v>
      </c>
      <c r="B298" s="115" t="s">
        <v>919</v>
      </c>
      <c r="C298" s="116" t="s">
        <v>829</v>
      </c>
      <c r="D298" s="114" t="s">
        <v>249</v>
      </c>
      <c r="E298" s="114" t="s">
        <v>44</v>
      </c>
      <c r="F298" s="114" t="s">
        <v>250</v>
      </c>
      <c r="G298" s="117">
        <v>42229</v>
      </c>
      <c r="H298" s="118">
        <v>149.88999999999999</v>
      </c>
      <c r="I298" s="118">
        <v>85.55</v>
      </c>
      <c r="J298" s="119">
        <v>0.57079999999999997</v>
      </c>
      <c r="K298" s="120">
        <v>21.99</v>
      </c>
      <c r="L298" s="119">
        <v>1.54E-2</v>
      </c>
      <c r="M298" s="120">
        <v>1.2</v>
      </c>
      <c r="N298" s="120">
        <v>0.75</v>
      </c>
      <c r="O298" s="118">
        <v>-32.94</v>
      </c>
      <c r="P298" s="119">
        <v>6.7500000000000004E-2</v>
      </c>
      <c r="Q298" s="120">
        <v>4</v>
      </c>
      <c r="R298" s="114"/>
    </row>
    <row r="299" spans="1:18" ht="15" customHeight="1" x14ac:dyDescent="0.55000000000000004">
      <c r="A299" s="114" t="s">
        <v>920</v>
      </c>
      <c r="B299" s="115" t="s">
        <v>921</v>
      </c>
      <c r="C299" s="116" t="s">
        <v>829</v>
      </c>
      <c r="D299" s="114" t="s">
        <v>249</v>
      </c>
      <c r="E299" s="114" t="s">
        <v>80</v>
      </c>
      <c r="F299" s="114" t="s">
        <v>377</v>
      </c>
      <c r="G299" s="117">
        <v>42312</v>
      </c>
      <c r="H299" s="118">
        <v>0</v>
      </c>
      <c r="I299" s="118">
        <v>37.380000000000003</v>
      </c>
      <c r="J299" s="114" t="s">
        <v>48</v>
      </c>
      <c r="K299" s="120">
        <v>20.88</v>
      </c>
      <c r="L299" s="119">
        <v>6.7000000000000002E-3</v>
      </c>
      <c r="M299" s="120">
        <v>0.9</v>
      </c>
      <c r="N299" s="114" t="s">
        <v>48</v>
      </c>
      <c r="O299" s="114" t="s">
        <v>48</v>
      </c>
      <c r="P299" s="119">
        <v>6.1899999999999997E-2</v>
      </c>
      <c r="Q299" s="120">
        <v>1</v>
      </c>
      <c r="R299" s="118">
        <v>49.88</v>
      </c>
    </row>
    <row r="300" spans="1:18" ht="15" customHeight="1" x14ac:dyDescent="0.55000000000000004">
      <c r="A300" s="114" t="s">
        <v>257</v>
      </c>
      <c r="B300" s="115" t="s">
        <v>258</v>
      </c>
      <c r="C300" s="116" t="s">
        <v>215</v>
      </c>
      <c r="D300" s="114" t="s">
        <v>59</v>
      </c>
      <c r="E300" s="114" t="s">
        <v>98</v>
      </c>
      <c r="F300" s="114" t="s">
        <v>150</v>
      </c>
      <c r="G300" s="117">
        <v>42376</v>
      </c>
      <c r="H300" s="118">
        <v>96.68</v>
      </c>
      <c r="I300" s="118">
        <v>87.17</v>
      </c>
      <c r="J300" s="119">
        <v>0.90159999999999996</v>
      </c>
      <c r="K300" s="120">
        <v>25.71</v>
      </c>
      <c r="L300" s="119">
        <v>2.75E-2</v>
      </c>
      <c r="M300" s="120">
        <v>0.9</v>
      </c>
      <c r="N300" s="120">
        <v>2.06</v>
      </c>
      <c r="O300" s="118">
        <v>-17.100000000000001</v>
      </c>
      <c r="P300" s="119">
        <v>8.6099999999999996E-2</v>
      </c>
      <c r="Q300" s="120">
        <v>5</v>
      </c>
      <c r="R300" s="114" t="s">
        <v>48</v>
      </c>
    </row>
    <row r="301" spans="1:18" ht="15" customHeight="1" x14ac:dyDescent="0.55000000000000004">
      <c r="A301" s="114" t="s">
        <v>181</v>
      </c>
      <c r="B301" s="115" t="s">
        <v>182</v>
      </c>
      <c r="C301" s="116" t="s">
        <v>142</v>
      </c>
      <c r="D301" s="114" t="s">
        <v>59</v>
      </c>
      <c r="E301" s="114" t="s">
        <v>98</v>
      </c>
      <c r="F301" s="114" t="s">
        <v>150</v>
      </c>
      <c r="G301" s="117">
        <v>42416</v>
      </c>
      <c r="H301" s="118">
        <v>44.19</v>
      </c>
      <c r="I301" s="118">
        <v>46.73</v>
      </c>
      <c r="J301" s="119">
        <v>1.0575000000000001</v>
      </c>
      <c r="K301" s="120">
        <v>25.4</v>
      </c>
      <c r="L301" s="119">
        <v>2.7400000000000001E-2</v>
      </c>
      <c r="M301" s="120">
        <v>1</v>
      </c>
      <c r="N301" s="120">
        <v>1.87</v>
      </c>
      <c r="O301" s="118">
        <v>-3.91</v>
      </c>
      <c r="P301" s="119">
        <v>8.4500000000000006E-2</v>
      </c>
      <c r="Q301" s="120">
        <v>20</v>
      </c>
      <c r="R301" s="118">
        <v>20.88</v>
      </c>
    </row>
    <row r="302" spans="1:18" ht="15" customHeight="1" x14ac:dyDescent="0.55000000000000004">
      <c r="A302" s="114" t="s">
        <v>324</v>
      </c>
      <c r="B302" s="115" t="s">
        <v>325</v>
      </c>
      <c r="C302" s="116" t="s">
        <v>297</v>
      </c>
      <c r="D302" s="114" t="s">
        <v>59</v>
      </c>
      <c r="E302" s="114" t="s">
        <v>44</v>
      </c>
      <c r="F302" s="114" t="s">
        <v>60</v>
      </c>
      <c r="G302" s="117">
        <v>42320</v>
      </c>
      <c r="H302" s="118">
        <v>110.88</v>
      </c>
      <c r="I302" s="118">
        <v>44.77</v>
      </c>
      <c r="J302" s="119">
        <v>0.40379999999999999</v>
      </c>
      <c r="K302" s="120">
        <v>15.55</v>
      </c>
      <c r="L302" s="119">
        <v>3.5999999999999999E-3</v>
      </c>
      <c r="M302" s="120">
        <v>1.5</v>
      </c>
      <c r="N302" s="120">
        <v>4.9000000000000004</v>
      </c>
      <c r="O302" s="118">
        <v>6.4</v>
      </c>
      <c r="P302" s="119">
        <v>3.5200000000000002E-2</v>
      </c>
      <c r="Q302" s="120">
        <v>0</v>
      </c>
      <c r="R302" s="118">
        <v>47.07</v>
      </c>
    </row>
    <row r="303" spans="1:18" ht="15" customHeight="1" x14ac:dyDescent="0.55000000000000004">
      <c r="A303" s="114" t="s">
        <v>922</v>
      </c>
      <c r="B303" s="115" t="s">
        <v>923</v>
      </c>
      <c r="C303" s="116" t="s">
        <v>829</v>
      </c>
      <c r="D303" s="114" t="s">
        <v>249</v>
      </c>
      <c r="E303" s="114" t="s">
        <v>98</v>
      </c>
      <c r="F303" s="114" t="s">
        <v>412</v>
      </c>
      <c r="G303" s="117">
        <v>42137</v>
      </c>
      <c r="H303" s="118">
        <v>117.25</v>
      </c>
      <c r="I303" s="118">
        <v>109.87</v>
      </c>
      <c r="J303" s="119">
        <v>0.93710000000000004</v>
      </c>
      <c r="K303" s="120">
        <v>16.899999999999999</v>
      </c>
      <c r="L303" s="114" t="s">
        <v>48</v>
      </c>
      <c r="M303" s="120">
        <v>0.9</v>
      </c>
      <c r="N303" s="120">
        <v>1.65</v>
      </c>
      <c r="O303" s="118">
        <v>-77.87</v>
      </c>
      <c r="P303" s="119">
        <v>4.2000000000000003E-2</v>
      </c>
      <c r="Q303" s="114"/>
      <c r="R303" s="114"/>
    </row>
    <row r="304" spans="1:18" ht="15" customHeight="1" x14ac:dyDescent="0.55000000000000004">
      <c r="A304" s="114" t="s">
        <v>924</v>
      </c>
      <c r="B304" s="115" t="s">
        <v>925</v>
      </c>
      <c r="C304" s="116" t="s">
        <v>829</v>
      </c>
      <c r="D304" s="114" t="s">
        <v>249</v>
      </c>
      <c r="E304" s="114" t="s">
        <v>80</v>
      </c>
      <c r="F304" s="114" t="s">
        <v>377</v>
      </c>
      <c r="G304" s="117">
        <v>42139</v>
      </c>
      <c r="H304" s="118">
        <v>53.36</v>
      </c>
      <c r="I304" s="118">
        <v>119.47</v>
      </c>
      <c r="J304" s="119">
        <v>2.2389000000000001</v>
      </c>
      <c r="K304" s="120">
        <v>15.5</v>
      </c>
      <c r="L304" s="119">
        <v>2.3400000000000001E-2</v>
      </c>
      <c r="M304" s="120">
        <v>1.1000000000000001</v>
      </c>
      <c r="N304" s="120">
        <v>1.87</v>
      </c>
      <c r="O304" s="118">
        <v>-45.85</v>
      </c>
      <c r="P304" s="119">
        <v>3.5000000000000003E-2</v>
      </c>
      <c r="Q304" s="114"/>
      <c r="R304" s="114"/>
    </row>
    <row r="305" spans="1:18" ht="15" customHeight="1" x14ac:dyDescent="0.55000000000000004">
      <c r="A305" s="114" t="s">
        <v>183</v>
      </c>
      <c r="B305" s="115" t="s">
        <v>184</v>
      </c>
      <c r="C305" s="116" t="s">
        <v>142</v>
      </c>
      <c r="D305" s="114" t="s">
        <v>59</v>
      </c>
      <c r="E305" s="114" t="s">
        <v>80</v>
      </c>
      <c r="F305" s="114" t="s">
        <v>81</v>
      </c>
      <c r="G305" s="117">
        <v>42400</v>
      </c>
      <c r="H305" s="118">
        <v>19.71</v>
      </c>
      <c r="I305" s="118">
        <v>42.3</v>
      </c>
      <c r="J305" s="119">
        <v>2.1461000000000001</v>
      </c>
      <c r="K305" s="120">
        <v>21.8</v>
      </c>
      <c r="L305" s="119">
        <v>3.0300000000000001E-2</v>
      </c>
      <c r="M305" s="120">
        <v>1.1000000000000001</v>
      </c>
      <c r="N305" s="120">
        <v>9.8800000000000008</v>
      </c>
      <c r="O305" s="118">
        <v>5.65</v>
      </c>
      <c r="P305" s="119">
        <v>6.6500000000000004E-2</v>
      </c>
      <c r="Q305" s="120">
        <v>20</v>
      </c>
      <c r="R305" s="118">
        <v>17.37</v>
      </c>
    </row>
    <row r="306" spans="1:18" ht="15" customHeight="1" x14ac:dyDescent="0.55000000000000004">
      <c r="A306" s="114" t="s">
        <v>926</v>
      </c>
      <c r="B306" s="115" t="s">
        <v>927</v>
      </c>
      <c r="C306" s="116" t="s">
        <v>829</v>
      </c>
      <c r="D306" s="114" t="s">
        <v>249</v>
      </c>
      <c r="E306" s="114" t="s">
        <v>80</v>
      </c>
      <c r="F306" s="114" t="s">
        <v>377</v>
      </c>
      <c r="G306" s="117">
        <v>42135</v>
      </c>
      <c r="H306" s="118">
        <v>27.47</v>
      </c>
      <c r="I306" s="118">
        <v>74.02</v>
      </c>
      <c r="J306" s="119">
        <v>2.6945999999999999</v>
      </c>
      <c r="K306" s="120">
        <v>22.85</v>
      </c>
      <c r="L306" s="119">
        <v>2.76E-2</v>
      </c>
      <c r="M306" s="120">
        <v>0.2</v>
      </c>
      <c r="N306" s="120">
        <v>1.41</v>
      </c>
      <c r="O306" s="118">
        <v>-8.43</v>
      </c>
      <c r="P306" s="119">
        <v>7.17E-2</v>
      </c>
      <c r="Q306" s="114"/>
      <c r="R306" s="114"/>
    </row>
    <row r="307" spans="1:18" ht="15" customHeight="1" x14ac:dyDescent="0.55000000000000004">
      <c r="A307" s="114" t="s">
        <v>110</v>
      </c>
      <c r="B307" s="115" t="s">
        <v>111</v>
      </c>
      <c r="C307" s="116" t="s">
        <v>79</v>
      </c>
      <c r="D307" s="114" t="s">
        <v>59</v>
      </c>
      <c r="E307" s="114" t="s">
        <v>44</v>
      </c>
      <c r="F307" s="114" t="s">
        <v>60</v>
      </c>
      <c r="G307" s="117">
        <v>42349</v>
      </c>
      <c r="H307" s="118">
        <v>64.78</v>
      </c>
      <c r="I307" s="118">
        <v>30.78</v>
      </c>
      <c r="J307" s="119">
        <v>0.47510000000000002</v>
      </c>
      <c r="K307" s="120">
        <v>18.32</v>
      </c>
      <c r="L307" s="119">
        <v>2.5999999999999999E-2</v>
      </c>
      <c r="M307" s="120">
        <v>1.4</v>
      </c>
      <c r="N307" s="120">
        <v>2.96</v>
      </c>
      <c r="O307" s="118">
        <v>-6.02</v>
      </c>
      <c r="P307" s="119">
        <v>4.9099999999999998E-2</v>
      </c>
      <c r="Q307" s="120">
        <v>6</v>
      </c>
      <c r="R307" s="118">
        <v>50.67</v>
      </c>
    </row>
    <row r="308" spans="1:18" ht="15" customHeight="1" x14ac:dyDescent="0.55000000000000004">
      <c r="A308" s="114" t="s">
        <v>778</v>
      </c>
      <c r="B308" s="115" t="s">
        <v>779</v>
      </c>
      <c r="C308" s="116" t="s">
        <v>43</v>
      </c>
      <c r="D308" s="114" t="s">
        <v>249</v>
      </c>
      <c r="E308" s="114" t="s">
        <v>80</v>
      </c>
      <c r="F308" s="114" t="s">
        <v>377</v>
      </c>
      <c r="G308" s="117">
        <v>42036</v>
      </c>
      <c r="H308" s="118">
        <v>149.47</v>
      </c>
      <c r="I308" s="118">
        <v>217.2</v>
      </c>
      <c r="J308" s="119">
        <v>1.4531000000000001</v>
      </c>
      <c r="K308" s="120">
        <v>23.08</v>
      </c>
      <c r="L308" s="119">
        <v>3.04E-2</v>
      </c>
      <c r="M308" s="120">
        <v>0.6</v>
      </c>
      <c r="N308" s="120">
        <v>1.1100000000000001</v>
      </c>
      <c r="O308" s="118">
        <v>-66.58</v>
      </c>
      <c r="P308" s="119">
        <v>7.2900000000000006E-2</v>
      </c>
      <c r="Q308" s="114"/>
      <c r="R308" s="114"/>
    </row>
    <row r="309" spans="1:18" ht="15" customHeight="1" x14ac:dyDescent="0.55000000000000004">
      <c r="A309" s="114" t="s">
        <v>112</v>
      </c>
      <c r="B309" s="115" t="s">
        <v>113</v>
      </c>
      <c r="C309" s="116" t="s">
        <v>79</v>
      </c>
      <c r="D309" s="114" t="s">
        <v>59</v>
      </c>
      <c r="E309" s="114" t="s">
        <v>44</v>
      </c>
      <c r="F309" s="114" t="s">
        <v>60</v>
      </c>
      <c r="G309" s="117">
        <v>42321</v>
      </c>
      <c r="H309" s="118">
        <v>179.03</v>
      </c>
      <c r="I309" s="118">
        <v>39.24</v>
      </c>
      <c r="J309" s="119">
        <v>0.21920000000000001</v>
      </c>
      <c r="K309" s="120">
        <v>8.44</v>
      </c>
      <c r="L309" s="119">
        <v>2.5499999999999998E-2</v>
      </c>
      <c r="M309" s="120">
        <v>2.2999999999999998</v>
      </c>
      <c r="N309" s="114" t="s">
        <v>48</v>
      </c>
      <c r="O309" s="114" t="s">
        <v>48</v>
      </c>
      <c r="P309" s="119">
        <v>-2.9999999999999997E-4</v>
      </c>
      <c r="Q309" s="120">
        <v>6</v>
      </c>
      <c r="R309" s="118">
        <v>78.23</v>
      </c>
    </row>
    <row r="310" spans="1:18" ht="15" customHeight="1" x14ac:dyDescent="0.55000000000000004">
      <c r="A310" s="114" t="s">
        <v>410</v>
      </c>
      <c r="B310" s="115" t="s">
        <v>411</v>
      </c>
      <c r="C310" s="116" t="s">
        <v>304</v>
      </c>
      <c r="D310" s="114" t="s">
        <v>249</v>
      </c>
      <c r="E310" s="114" t="s">
        <v>98</v>
      </c>
      <c r="F310" s="114" t="s">
        <v>412</v>
      </c>
      <c r="G310" s="117">
        <v>42377</v>
      </c>
      <c r="H310" s="118">
        <v>83.53</v>
      </c>
      <c r="I310" s="118">
        <v>69.09</v>
      </c>
      <c r="J310" s="119">
        <v>0.82709999999999995</v>
      </c>
      <c r="K310" s="120">
        <v>26.99</v>
      </c>
      <c r="L310" s="119">
        <v>1.6199999999999999E-2</v>
      </c>
      <c r="M310" s="120">
        <v>1.1000000000000001</v>
      </c>
      <c r="N310" s="120">
        <v>1.02</v>
      </c>
      <c r="O310" s="118">
        <v>-13.99</v>
      </c>
      <c r="P310" s="119">
        <v>9.2399999999999996E-2</v>
      </c>
      <c r="Q310" s="120">
        <v>20</v>
      </c>
      <c r="R310" s="118">
        <v>25.82</v>
      </c>
    </row>
    <row r="311" spans="1:18" ht="15" customHeight="1" x14ac:dyDescent="0.55000000000000004">
      <c r="A311" s="114" t="s">
        <v>676</v>
      </c>
      <c r="B311" s="115" t="s">
        <v>677</v>
      </c>
      <c r="C311" s="116" t="s">
        <v>634</v>
      </c>
      <c r="D311" s="114" t="s">
        <v>59</v>
      </c>
      <c r="E311" s="114" t="s">
        <v>98</v>
      </c>
      <c r="F311" s="114" t="s">
        <v>150</v>
      </c>
      <c r="G311" s="117">
        <v>42373</v>
      </c>
      <c r="H311" s="118">
        <v>87.57</v>
      </c>
      <c r="I311" s="118">
        <v>74.55</v>
      </c>
      <c r="J311" s="119">
        <v>0.85129999999999995</v>
      </c>
      <c r="K311" s="120">
        <v>20.2</v>
      </c>
      <c r="L311" s="119">
        <v>1.61E-2</v>
      </c>
      <c r="M311" s="120">
        <v>1.3</v>
      </c>
      <c r="N311" s="120">
        <v>2.86</v>
      </c>
      <c r="O311" s="118">
        <v>13.07</v>
      </c>
      <c r="P311" s="119">
        <v>5.8500000000000003E-2</v>
      </c>
      <c r="Q311" s="120">
        <v>3</v>
      </c>
      <c r="R311" s="118">
        <v>64.17</v>
      </c>
    </row>
    <row r="312" spans="1:18" ht="15" customHeight="1" x14ac:dyDescent="0.55000000000000004">
      <c r="A312" s="114" t="s">
        <v>1097</v>
      </c>
      <c r="B312" s="115" t="s">
        <v>1098</v>
      </c>
      <c r="C312" s="116" t="s">
        <v>98</v>
      </c>
      <c r="D312" s="114" t="s">
        <v>249</v>
      </c>
      <c r="E312" s="114" t="s">
        <v>80</v>
      </c>
      <c r="F312" s="114" t="s">
        <v>377</v>
      </c>
      <c r="G312" s="117">
        <v>42143</v>
      </c>
      <c r="H312" s="118">
        <v>0</v>
      </c>
      <c r="I312" s="118">
        <v>15.57</v>
      </c>
      <c r="J312" s="114" t="s">
        <v>48</v>
      </c>
      <c r="K312" s="120">
        <v>44.49</v>
      </c>
      <c r="L312" s="119">
        <v>1.61E-2</v>
      </c>
      <c r="M312" s="120">
        <v>1.5</v>
      </c>
      <c r="N312" s="120">
        <v>1.34</v>
      </c>
      <c r="O312" s="118">
        <v>5.57</v>
      </c>
      <c r="P312" s="119">
        <v>0.1799</v>
      </c>
      <c r="Q312" s="114"/>
      <c r="R312" s="114"/>
    </row>
    <row r="313" spans="1:18" ht="15" customHeight="1" x14ac:dyDescent="0.55000000000000004">
      <c r="A313" s="114" t="s">
        <v>928</v>
      </c>
      <c r="B313" s="115" t="s">
        <v>929</v>
      </c>
      <c r="C313" s="116" t="s">
        <v>829</v>
      </c>
      <c r="D313" s="114" t="s">
        <v>249</v>
      </c>
      <c r="E313" s="114" t="s">
        <v>44</v>
      </c>
      <c r="F313" s="114" t="s">
        <v>250</v>
      </c>
      <c r="G313" s="117">
        <v>42292</v>
      </c>
      <c r="H313" s="118">
        <v>69.84</v>
      </c>
      <c r="I313" s="118">
        <v>41.94</v>
      </c>
      <c r="J313" s="119">
        <v>0.60050000000000003</v>
      </c>
      <c r="K313" s="120">
        <v>23.17</v>
      </c>
      <c r="L313" s="119">
        <v>7.1999999999999998E-3</v>
      </c>
      <c r="M313" s="120">
        <v>1</v>
      </c>
      <c r="N313" s="120">
        <v>0.67</v>
      </c>
      <c r="O313" s="118">
        <v>-13.85</v>
      </c>
      <c r="P313" s="119">
        <v>7.3400000000000007E-2</v>
      </c>
      <c r="Q313" s="120">
        <v>4</v>
      </c>
      <c r="R313" s="118">
        <v>28.09</v>
      </c>
    </row>
    <row r="314" spans="1:18" ht="15" customHeight="1" x14ac:dyDescent="0.55000000000000004">
      <c r="A314" s="114" t="s">
        <v>1099</v>
      </c>
      <c r="B314" s="115" t="s">
        <v>1100</v>
      </c>
      <c r="C314" s="116" t="s">
        <v>98</v>
      </c>
      <c r="D314" s="114" t="s">
        <v>249</v>
      </c>
      <c r="E314" s="114" t="s">
        <v>80</v>
      </c>
      <c r="F314" s="114" t="s">
        <v>377</v>
      </c>
      <c r="G314" s="117">
        <v>42206</v>
      </c>
      <c r="H314" s="118">
        <v>3.7</v>
      </c>
      <c r="I314" s="118">
        <v>50.69</v>
      </c>
      <c r="J314" s="119">
        <v>13.7</v>
      </c>
      <c r="K314" s="120">
        <v>506.9</v>
      </c>
      <c r="L314" s="114" t="s">
        <v>48</v>
      </c>
      <c r="M314" s="120">
        <v>1.8</v>
      </c>
      <c r="N314" s="120">
        <v>1.05</v>
      </c>
      <c r="O314" s="118">
        <v>-35.729999999999997</v>
      </c>
      <c r="P314" s="119">
        <v>2.492</v>
      </c>
      <c r="Q314" s="114"/>
      <c r="R314" s="114"/>
    </row>
    <row r="315" spans="1:18" ht="15" customHeight="1" x14ac:dyDescent="0.55000000000000004">
      <c r="A315" s="114" t="s">
        <v>185</v>
      </c>
      <c r="B315" s="115" t="s">
        <v>186</v>
      </c>
      <c r="C315" s="116" t="s">
        <v>142</v>
      </c>
      <c r="D315" s="114" t="s">
        <v>59</v>
      </c>
      <c r="E315" s="114" t="s">
        <v>44</v>
      </c>
      <c r="F315" s="114" t="s">
        <v>60</v>
      </c>
      <c r="G315" s="117">
        <v>42333</v>
      </c>
      <c r="H315" s="118">
        <v>293.33999999999997</v>
      </c>
      <c r="I315" s="118">
        <v>80.430000000000007</v>
      </c>
      <c r="J315" s="119">
        <v>0.2742</v>
      </c>
      <c r="K315" s="120">
        <v>10.56</v>
      </c>
      <c r="L315" s="119">
        <v>3.8800000000000001E-2</v>
      </c>
      <c r="M315" s="120">
        <v>1.8</v>
      </c>
      <c r="N315" s="120">
        <v>2.16</v>
      </c>
      <c r="O315" s="118">
        <v>-11.68</v>
      </c>
      <c r="P315" s="119">
        <v>1.03E-2</v>
      </c>
      <c r="Q315" s="120">
        <v>5</v>
      </c>
      <c r="R315" s="118">
        <v>59.42</v>
      </c>
    </row>
    <row r="316" spans="1:18" ht="15" customHeight="1" x14ac:dyDescent="0.55000000000000004">
      <c r="A316" s="114" t="s">
        <v>413</v>
      </c>
      <c r="B316" s="115" t="s">
        <v>414</v>
      </c>
      <c r="C316" s="116" t="s">
        <v>304</v>
      </c>
      <c r="D316" s="114" t="s">
        <v>249</v>
      </c>
      <c r="E316" s="114" t="s">
        <v>44</v>
      </c>
      <c r="F316" s="114" t="s">
        <v>250</v>
      </c>
      <c r="G316" s="117">
        <v>42045</v>
      </c>
      <c r="H316" s="118">
        <v>138.81</v>
      </c>
      <c r="I316" s="118">
        <v>43.97</v>
      </c>
      <c r="J316" s="119">
        <v>0.31680000000000003</v>
      </c>
      <c r="K316" s="120">
        <v>12.18</v>
      </c>
      <c r="L316" s="119">
        <v>3.27E-2</v>
      </c>
      <c r="M316" s="120">
        <v>0.8</v>
      </c>
      <c r="N316" s="120">
        <v>1.37</v>
      </c>
      <c r="O316" s="118">
        <v>-21.03</v>
      </c>
      <c r="P316" s="119">
        <v>1.84E-2</v>
      </c>
      <c r="Q316" s="114"/>
      <c r="R316" s="114"/>
    </row>
    <row r="317" spans="1:18" ht="15" customHeight="1" x14ac:dyDescent="0.55000000000000004">
      <c r="A317" s="114" t="s">
        <v>415</v>
      </c>
      <c r="B317" s="115" t="s">
        <v>416</v>
      </c>
      <c r="C317" s="116" t="s">
        <v>304</v>
      </c>
      <c r="D317" s="114" t="s">
        <v>59</v>
      </c>
      <c r="E317" s="114" t="s">
        <v>98</v>
      </c>
      <c r="F317" s="114" t="s">
        <v>150</v>
      </c>
      <c r="G317" s="117">
        <v>42374</v>
      </c>
      <c r="H317" s="118">
        <v>107.66</v>
      </c>
      <c r="I317" s="118">
        <v>89.86</v>
      </c>
      <c r="J317" s="119">
        <v>0.8347</v>
      </c>
      <c r="K317" s="120">
        <v>32.090000000000003</v>
      </c>
      <c r="L317" s="119">
        <v>8.5000000000000006E-3</v>
      </c>
      <c r="M317" s="120">
        <v>1</v>
      </c>
      <c r="N317" s="120">
        <v>1.62</v>
      </c>
      <c r="O317" s="118">
        <v>1.1100000000000001</v>
      </c>
      <c r="P317" s="119">
        <v>0.11799999999999999</v>
      </c>
      <c r="Q317" s="120">
        <v>4</v>
      </c>
      <c r="R317" s="118">
        <v>20.03</v>
      </c>
    </row>
    <row r="318" spans="1:18" ht="15" customHeight="1" x14ac:dyDescent="0.55000000000000004">
      <c r="A318" s="114" t="s">
        <v>326</v>
      </c>
      <c r="B318" s="115" t="s">
        <v>327</v>
      </c>
      <c r="C318" s="116" t="s">
        <v>297</v>
      </c>
      <c r="D318" s="114" t="s">
        <v>43</v>
      </c>
      <c r="E318" s="114" t="s">
        <v>44</v>
      </c>
      <c r="F318" s="114" t="s">
        <v>45</v>
      </c>
      <c r="G318" s="117">
        <v>42375</v>
      </c>
      <c r="H318" s="118">
        <v>164.4</v>
      </c>
      <c r="I318" s="118">
        <v>80.459999999999994</v>
      </c>
      <c r="J318" s="119">
        <v>0.4894</v>
      </c>
      <c r="K318" s="120">
        <v>18.84</v>
      </c>
      <c r="L318" s="119">
        <v>3.3799999999999997E-2</v>
      </c>
      <c r="M318" s="120">
        <v>1</v>
      </c>
      <c r="N318" s="120">
        <v>0.37</v>
      </c>
      <c r="O318" s="118">
        <v>-48.51</v>
      </c>
      <c r="P318" s="119">
        <v>5.1700000000000003E-2</v>
      </c>
      <c r="Q318" s="120">
        <v>4</v>
      </c>
      <c r="R318" s="118">
        <v>32.96</v>
      </c>
    </row>
    <row r="319" spans="1:18" ht="15" customHeight="1" x14ac:dyDescent="0.55000000000000004">
      <c r="A319" s="114" t="s">
        <v>568</v>
      </c>
      <c r="B319" s="115" t="s">
        <v>569</v>
      </c>
      <c r="C319" s="116" t="s">
        <v>479</v>
      </c>
      <c r="D319" s="114" t="s">
        <v>249</v>
      </c>
      <c r="E319" s="114" t="s">
        <v>98</v>
      </c>
      <c r="F319" s="114" t="s">
        <v>412</v>
      </c>
      <c r="G319" s="117">
        <v>42215</v>
      </c>
      <c r="H319" s="118">
        <v>39.700000000000003</v>
      </c>
      <c r="I319" s="118">
        <v>29.99</v>
      </c>
      <c r="J319" s="119">
        <v>0.75539999999999996</v>
      </c>
      <c r="K319" s="120">
        <v>12</v>
      </c>
      <c r="L319" s="119">
        <v>7.1999999999999995E-2</v>
      </c>
      <c r="M319" s="120">
        <v>0.8</v>
      </c>
      <c r="N319" s="120">
        <v>0.32</v>
      </c>
      <c r="O319" s="118">
        <v>-14.48</v>
      </c>
      <c r="P319" s="119">
        <v>1.7500000000000002E-2</v>
      </c>
      <c r="Q319" s="114"/>
      <c r="R319" s="114"/>
    </row>
    <row r="320" spans="1:18" ht="15" customHeight="1" x14ac:dyDescent="0.55000000000000004">
      <c r="A320" s="114" t="s">
        <v>780</v>
      </c>
      <c r="B320" s="115" t="s">
        <v>781</v>
      </c>
      <c r="C320" s="116" t="s">
        <v>43</v>
      </c>
      <c r="D320" s="114" t="s">
        <v>249</v>
      </c>
      <c r="E320" s="114" t="s">
        <v>98</v>
      </c>
      <c r="F320" s="114" t="s">
        <v>412</v>
      </c>
      <c r="G320" s="117">
        <v>42090</v>
      </c>
      <c r="H320" s="118">
        <v>72.3</v>
      </c>
      <c r="I320" s="118">
        <v>68.83</v>
      </c>
      <c r="J320" s="119">
        <v>0.95199999999999996</v>
      </c>
      <c r="K320" s="120">
        <v>36.61</v>
      </c>
      <c r="L320" s="119">
        <v>1.4500000000000001E-2</v>
      </c>
      <c r="M320" s="120">
        <v>1.3</v>
      </c>
      <c r="N320" s="120">
        <v>0.63</v>
      </c>
      <c r="O320" s="118">
        <v>-24.72</v>
      </c>
      <c r="P320" s="119">
        <v>0.1406</v>
      </c>
      <c r="Q320" s="114"/>
      <c r="R320" s="114"/>
    </row>
    <row r="321" spans="1:18" ht="15" customHeight="1" x14ac:dyDescent="0.55000000000000004">
      <c r="A321" s="114" t="s">
        <v>782</v>
      </c>
      <c r="B321" s="115" t="s">
        <v>783</v>
      </c>
      <c r="C321" s="116" t="s">
        <v>43</v>
      </c>
      <c r="D321" s="114" t="s">
        <v>249</v>
      </c>
      <c r="E321" s="114" t="s">
        <v>98</v>
      </c>
      <c r="F321" s="114" t="s">
        <v>412</v>
      </c>
      <c r="G321" s="117">
        <v>42249</v>
      </c>
      <c r="H321" s="118">
        <v>36.96</v>
      </c>
      <c r="I321" s="118">
        <v>29.07</v>
      </c>
      <c r="J321" s="119">
        <v>0.78649999999999998</v>
      </c>
      <c r="K321" s="120">
        <v>30.28</v>
      </c>
      <c r="L321" s="119">
        <v>1.3100000000000001E-2</v>
      </c>
      <c r="M321" s="120">
        <v>2</v>
      </c>
      <c r="N321" s="120">
        <v>2.2599999999999998</v>
      </c>
      <c r="O321" s="118">
        <v>-6.76</v>
      </c>
      <c r="P321" s="119">
        <v>0.1089</v>
      </c>
      <c r="Q321" s="120">
        <v>0</v>
      </c>
      <c r="R321" s="114" t="s">
        <v>48</v>
      </c>
    </row>
    <row r="322" spans="1:18" ht="15" customHeight="1" x14ac:dyDescent="0.55000000000000004">
      <c r="A322" s="114" t="s">
        <v>930</v>
      </c>
      <c r="B322" s="115" t="s">
        <v>931</v>
      </c>
      <c r="C322" s="116" t="s">
        <v>829</v>
      </c>
      <c r="D322" s="114" t="s">
        <v>249</v>
      </c>
      <c r="E322" s="114" t="s">
        <v>80</v>
      </c>
      <c r="F322" s="114" t="s">
        <v>377</v>
      </c>
      <c r="G322" s="117">
        <v>42399</v>
      </c>
      <c r="H322" s="118">
        <v>11.43</v>
      </c>
      <c r="I322" s="118">
        <v>32.64</v>
      </c>
      <c r="J322" s="119">
        <v>2.8555999999999999</v>
      </c>
      <c r="K322" s="120">
        <v>19.66</v>
      </c>
      <c r="L322" s="119">
        <v>4.6600000000000003E-2</v>
      </c>
      <c r="M322" s="120">
        <v>0.9</v>
      </c>
      <c r="N322" s="120">
        <v>2.21</v>
      </c>
      <c r="O322" s="118">
        <v>-2.63</v>
      </c>
      <c r="P322" s="119">
        <v>5.5800000000000002E-2</v>
      </c>
      <c r="Q322" s="120">
        <v>6</v>
      </c>
      <c r="R322" s="118">
        <v>12.73</v>
      </c>
    </row>
    <row r="323" spans="1:18" ht="15" customHeight="1" x14ac:dyDescent="0.55000000000000004">
      <c r="A323" s="114" t="s">
        <v>187</v>
      </c>
      <c r="B323" s="115" t="s">
        <v>188</v>
      </c>
      <c r="C323" s="116" t="s">
        <v>142</v>
      </c>
      <c r="D323" s="114" t="s">
        <v>59</v>
      </c>
      <c r="E323" s="114" t="s">
        <v>80</v>
      </c>
      <c r="F323" s="114" t="s">
        <v>81</v>
      </c>
      <c r="G323" s="117">
        <v>42318</v>
      </c>
      <c r="H323" s="118">
        <v>61.89</v>
      </c>
      <c r="I323" s="118">
        <v>118.48</v>
      </c>
      <c r="J323" s="119">
        <v>1.9144000000000001</v>
      </c>
      <c r="K323" s="120">
        <v>23.7</v>
      </c>
      <c r="L323" s="119">
        <v>0.03</v>
      </c>
      <c r="M323" s="120">
        <v>0.5</v>
      </c>
      <c r="N323" s="120">
        <v>1.52</v>
      </c>
      <c r="O323" s="118">
        <v>-21.56</v>
      </c>
      <c r="P323" s="119">
        <v>7.5999999999999998E-2</v>
      </c>
      <c r="Q323" s="120">
        <v>20</v>
      </c>
      <c r="R323" s="118">
        <v>30.31</v>
      </c>
    </row>
    <row r="324" spans="1:18" ht="15" customHeight="1" x14ac:dyDescent="0.55000000000000004">
      <c r="A324" s="114" t="s">
        <v>417</v>
      </c>
      <c r="B324" s="115" t="s">
        <v>418</v>
      </c>
      <c r="C324" s="116" t="s">
        <v>304</v>
      </c>
      <c r="D324" s="114" t="s">
        <v>59</v>
      </c>
      <c r="E324" s="114" t="s">
        <v>80</v>
      </c>
      <c r="F324" s="114" t="s">
        <v>81</v>
      </c>
      <c r="G324" s="117">
        <v>42394</v>
      </c>
      <c r="H324" s="118">
        <v>17.41</v>
      </c>
      <c r="I324" s="118">
        <v>45.74</v>
      </c>
      <c r="J324" s="119">
        <v>2.6272000000000002</v>
      </c>
      <c r="K324" s="120">
        <v>26.75</v>
      </c>
      <c r="L324" s="119">
        <v>3.15E-2</v>
      </c>
      <c r="M324" s="120">
        <v>1.1000000000000001</v>
      </c>
      <c r="N324" s="120">
        <v>7.47</v>
      </c>
      <c r="O324" s="118">
        <v>-4.04</v>
      </c>
      <c r="P324" s="119">
        <v>9.1200000000000003E-2</v>
      </c>
      <c r="Q324" s="120">
        <v>14</v>
      </c>
      <c r="R324" s="118">
        <v>22.53</v>
      </c>
    </row>
    <row r="325" spans="1:18" ht="15" customHeight="1" x14ac:dyDescent="0.55000000000000004">
      <c r="A325" s="114" t="s">
        <v>570</v>
      </c>
      <c r="B325" s="115" t="s">
        <v>571</v>
      </c>
      <c r="C325" s="116" t="s">
        <v>479</v>
      </c>
      <c r="D325" s="114" t="s">
        <v>249</v>
      </c>
      <c r="E325" s="114" t="s">
        <v>44</v>
      </c>
      <c r="F325" s="114" t="s">
        <v>250</v>
      </c>
      <c r="G325" s="117">
        <v>42134</v>
      </c>
      <c r="H325" s="118">
        <v>236.45</v>
      </c>
      <c r="I325" s="118">
        <v>158.59</v>
      </c>
      <c r="J325" s="119">
        <v>0.67069999999999996</v>
      </c>
      <c r="K325" s="120">
        <v>22</v>
      </c>
      <c r="L325" s="119">
        <v>7.1000000000000004E-3</v>
      </c>
      <c r="M325" s="120">
        <v>1</v>
      </c>
      <c r="N325" s="120">
        <v>1.1299999999999999</v>
      </c>
      <c r="O325" s="118">
        <v>-37.65</v>
      </c>
      <c r="P325" s="119">
        <v>6.7500000000000004E-2</v>
      </c>
      <c r="Q325" s="114"/>
      <c r="R325" s="114"/>
    </row>
    <row r="326" spans="1:18" ht="15" customHeight="1" x14ac:dyDescent="0.55000000000000004">
      <c r="A326" s="114" t="s">
        <v>189</v>
      </c>
      <c r="B326" s="115" t="s">
        <v>190</v>
      </c>
      <c r="C326" s="116" t="s">
        <v>142</v>
      </c>
      <c r="D326" s="114" t="s">
        <v>43</v>
      </c>
      <c r="E326" s="114" t="s">
        <v>44</v>
      </c>
      <c r="F326" s="114" t="s">
        <v>45</v>
      </c>
      <c r="G326" s="117">
        <v>42416</v>
      </c>
      <c r="H326" s="118">
        <v>142.01</v>
      </c>
      <c r="I326" s="118">
        <v>92.3</v>
      </c>
      <c r="J326" s="119">
        <v>0.65</v>
      </c>
      <c r="K326" s="120">
        <v>20.93</v>
      </c>
      <c r="L326" s="119">
        <v>1.6E-2</v>
      </c>
      <c r="M326" s="120">
        <v>1.3</v>
      </c>
      <c r="N326" s="120">
        <v>2.66</v>
      </c>
      <c r="O326" s="118">
        <v>-10.88</v>
      </c>
      <c r="P326" s="119">
        <v>6.2100000000000002E-2</v>
      </c>
      <c r="Q326" s="120">
        <v>7</v>
      </c>
      <c r="R326" s="114" t="s">
        <v>48</v>
      </c>
    </row>
    <row r="327" spans="1:18" ht="15" customHeight="1" x14ac:dyDescent="0.55000000000000004">
      <c r="A327" s="114" t="s">
        <v>784</v>
      </c>
      <c r="B327" s="115" t="s">
        <v>785</v>
      </c>
      <c r="C327" s="116" t="s">
        <v>43</v>
      </c>
      <c r="D327" s="114" t="s">
        <v>249</v>
      </c>
      <c r="E327" s="114" t="s">
        <v>80</v>
      </c>
      <c r="F327" s="114" t="s">
        <v>377</v>
      </c>
      <c r="G327" s="117">
        <v>42179</v>
      </c>
      <c r="H327" s="118">
        <v>6.8</v>
      </c>
      <c r="I327" s="118">
        <v>41.22</v>
      </c>
      <c r="J327" s="119">
        <v>6.0617999999999999</v>
      </c>
      <c r="K327" s="120">
        <v>24.54</v>
      </c>
      <c r="L327" s="119">
        <v>1.6500000000000001E-2</v>
      </c>
      <c r="M327" s="120">
        <v>1</v>
      </c>
      <c r="N327" s="120">
        <v>0.72</v>
      </c>
      <c r="O327" s="118">
        <v>-16.690000000000001</v>
      </c>
      <c r="P327" s="119">
        <v>8.0199999999999994E-2</v>
      </c>
      <c r="Q327" s="114"/>
      <c r="R327" s="114"/>
    </row>
    <row r="328" spans="1:18" ht="15" customHeight="1" x14ac:dyDescent="0.55000000000000004">
      <c r="A328" s="114" t="s">
        <v>328</v>
      </c>
      <c r="B328" s="115" t="s">
        <v>329</v>
      </c>
      <c r="C328" s="116" t="s">
        <v>297</v>
      </c>
      <c r="D328" s="114" t="s">
        <v>43</v>
      </c>
      <c r="E328" s="114" t="s">
        <v>80</v>
      </c>
      <c r="F328" s="114" t="s">
        <v>145</v>
      </c>
      <c r="G328" s="117">
        <v>42400</v>
      </c>
      <c r="H328" s="118">
        <v>30.68</v>
      </c>
      <c r="I328" s="118">
        <v>74.59</v>
      </c>
      <c r="J328" s="119">
        <v>2.4312</v>
      </c>
      <c r="K328" s="120">
        <v>24.86</v>
      </c>
      <c r="L328" s="119">
        <v>2.0400000000000001E-2</v>
      </c>
      <c r="M328" s="120">
        <v>1</v>
      </c>
      <c r="N328" s="120">
        <v>3.53</v>
      </c>
      <c r="O328" s="118">
        <v>-16.760000000000002</v>
      </c>
      <c r="P328" s="119">
        <v>8.1799999999999998E-2</v>
      </c>
      <c r="Q328" s="120">
        <v>20</v>
      </c>
      <c r="R328" s="118">
        <v>51.76</v>
      </c>
    </row>
    <row r="329" spans="1:18" ht="15" customHeight="1" x14ac:dyDescent="0.55000000000000004">
      <c r="A329" s="114" t="s">
        <v>114</v>
      </c>
      <c r="B329" s="115" t="s">
        <v>115</v>
      </c>
      <c r="C329" s="116" t="s">
        <v>79</v>
      </c>
      <c r="D329" s="114" t="s">
        <v>59</v>
      </c>
      <c r="E329" s="114" t="s">
        <v>44</v>
      </c>
      <c r="F329" s="114" t="s">
        <v>60</v>
      </c>
      <c r="G329" s="117">
        <v>42403</v>
      </c>
      <c r="H329" s="118">
        <v>88.82</v>
      </c>
      <c r="I329" s="118">
        <v>42.01</v>
      </c>
      <c r="J329" s="119">
        <v>0.47299999999999998</v>
      </c>
      <c r="K329" s="120">
        <v>9.86</v>
      </c>
      <c r="L329" s="119">
        <v>3.5700000000000003E-2</v>
      </c>
      <c r="M329" s="120">
        <v>1.9</v>
      </c>
      <c r="N329" s="114" t="s">
        <v>48</v>
      </c>
      <c r="O329" s="114" t="s">
        <v>48</v>
      </c>
      <c r="P329" s="119">
        <v>6.7999999999999996E-3</v>
      </c>
      <c r="Q329" s="120">
        <v>3</v>
      </c>
      <c r="R329" s="118">
        <v>85.28</v>
      </c>
    </row>
    <row r="330" spans="1:18" ht="15" customHeight="1" x14ac:dyDescent="0.55000000000000004">
      <c r="A330" s="114" t="s">
        <v>1101</v>
      </c>
      <c r="B330" s="115" t="s">
        <v>1102</v>
      </c>
      <c r="C330" s="116" t="s">
        <v>98</v>
      </c>
      <c r="D330" s="114" t="s">
        <v>249</v>
      </c>
      <c r="E330" s="114" t="s">
        <v>80</v>
      </c>
      <c r="F330" s="114" t="s">
        <v>377</v>
      </c>
      <c r="G330" s="117">
        <v>42206</v>
      </c>
      <c r="H330" s="118">
        <v>23.78</v>
      </c>
      <c r="I330" s="118">
        <v>92.52</v>
      </c>
      <c r="J330" s="119">
        <v>3.8906999999999998</v>
      </c>
      <c r="K330" s="120">
        <v>34.01</v>
      </c>
      <c r="L330" s="119">
        <v>1.5599999999999999E-2</v>
      </c>
      <c r="M330" s="120">
        <v>1.1000000000000001</v>
      </c>
      <c r="N330" s="120">
        <v>1.04</v>
      </c>
      <c r="O330" s="118">
        <v>-8.0399999999999991</v>
      </c>
      <c r="P330" s="119">
        <v>0.12759999999999999</v>
      </c>
      <c r="Q330" s="114"/>
      <c r="R330" s="114"/>
    </row>
    <row r="331" spans="1:18" ht="15" customHeight="1" x14ac:dyDescent="0.55000000000000004">
      <c r="A331" s="114" t="s">
        <v>786</v>
      </c>
      <c r="B331" s="115" t="s">
        <v>787</v>
      </c>
      <c r="C331" s="116" t="s">
        <v>43</v>
      </c>
      <c r="D331" s="114" t="s">
        <v>249</v>
      </c>
      <c r="E331" s="114" t="s">
        <v>98</v>
      </c>
      <c r="F331" s="114" t="s">
        <v>412</v>
      </c>
      <c r="G331" s="117">
        <v>42282</v>
      </c>
      <c r="H331" s="118">
        <v>241.78</v>
      </c>
      <c r="I331" s="118">
        <v>186.08</v>
      </c>
      <c r="J331" s="119">
        <v>0.76959999999999995</v>
      </c>
      <c r="K331" s="120">
        <v>29.63</v>
      </c>
      <c r="L331" s="114" t="s">
        <v>48</v>
      </c>
      <c r="M331" s="120">
        <v>1.3</v>
      </c>
      <c r="N331" s="120">
        <v>1.2</v>
      </c>
      <c r="O331" s="118">
        <v>-26.42</v>
      </c>
      <c r="P331" s="119">
        <v>0.1057</v>
      </c>
      <c r="Q331" s="120">
        <v>0</v>
      </c>
      <c r="R331" s="118">
        <v>107.86</v>
      </c>
    </row>
    <row r="332" spans="1:18" ht="15" customHeight="1" x14ac:dyDescent="0.55000000000000004">
      <c r="A332" s="114" t="s">
        <v>259</v>
      </c>
      <c r="B332" s="115" t="s">
        <v>260</v>
      </c>
      <c r="C332" s="116" t="s">
        <v>215</v>
      </c>
      <c r="D332" s="114" t="s">
        <v>59</v>
      </c>
      <c r="E332" s="114" t="s">
        <v>98</v>
      </c>
      <c r="F332" s="114" t="s">
        <v>150</v>
      </c>
      <c r="G332" s="117">
        <v>42327</v>
      </c>
      <c r="H332" s="118">
        <v>69.59</v>
      </c>
      <c r="I332" s="118">
        <v>73.209999999999994</v>
      </c>
      <c r="J332" s="119">
        <v>1.052</v>
      </c>
      <c r="K332" s="120">
        <v>22.46</v>
      </c>
      <c r="L332" s="119">
        <v>2.2499999999999999E-2</v>
      </c>
      <c r="M332" s="120">
        <v>1.1000000000000001</v>
      </c>
      <c r="N332" s="120">
        <v>2.04</v>
      </c>
      <c r="O332" s="118">
        <v>-4.91</v>
      </c>
      <c r="P332" s="119">
        <v>6.9800000000000001E-2</v>
      </c>
      <c r="Q332" s="120">
        <v>7</v>
      </c>
      <c r="R332" s="118">
        <v>11.3</v>
      </c>
    </row>
    <row r="333" spans="1:18" ht="15" customHeight="1" x14ac:dyDescent="0.55000000000000004">
      <c r="A333" s="114" t="s">
        <v>932</v>
      </c>
      <c r="B333" s="115" t="s">
        <v>933</v>
      </c>
      <c r="C333" s="116" t="s">
        <v>829</v>
      </c>
      <c r="D333" s="114" t="s">
        <v>249</v>
      </c>
      <c r="E333" s="114" t="s">
        <v>80</v>
      </c>
      <c r="F333" s="114" t="s">
        <v>377</v>
      </c>
      <c r="G333" s="117">
        <v>42231</v>
      </c>
      <c r="H333" s="118">
        <v>50.89</v>
      </c>
      <c r="I333" s="118">
        <v>93.52</v>
      </c>
      <c r="J333" s="119">
        <v>1.8376999999999999</v>
      </c>
      <c r="K333" s="120">
        <v>29.88</v>
      </c>
      <c r="L333" s="119">
        <v>1.84E-2</v>
      </c>
      <c r="M333" s="120">
        <v>0.5</v>
      </c>
      <c r="N333" s="120">
        <v>1.02</v>
      </c>
      <c r="O333" s="118">
        <v>-10.11</v>
      </c>
      <c r="P333" s="119">
        <v>0.1069</v>
      </c>
      <c r="Q333" s="120">
        <v>20</v>
      </c>
      <c r="R333" s="114"/>
    </row>
    <row r="334" spans="1:18" ht="15" customHeight="1" x14ac:dyDescent="0.55000000000000004">
      <c r="A334" s="114" t="s">
        <v>572</v>
      </c>
      <c r="B334" s="115" t="s">
        <v>573</v>
      </c>
      <c r="C334" s="116" t="s">
        <v>479</v>
      </c>
      <c r="D334" s="114" t="s">
        <v>59</v>
      </c>
      <c r="E334" s="114" t="s">
        <v>80</v>
      </c>
      <c r="F334" s="114" t="s">
        <v>81</v>
      </c>
      <c r="G334" s="117">
        <v>42404</v>
      </c>
      <c r="H334" s="118">
        <v>43.68</v>
      </c>
      <c r="I334" s="118">
        <v>147.56</v>
      </c>
      <c r="J334" s="119">
        <v>3.3782000000000001</v>
      </c>
      <c r="K334" s="120">
        <v>49.19</v>
      </c>
      <c r="L334" s="119">
        <v>1.0800000000000001E-2</v>
      </c>
      <c r="M334" s="121" t="e">
        <v>#N/A</v>
      </c>
      <c r="N334" s="120">
        <v>2.85</v>
      </c>
      <c r="O334" s="118">
        <v>-23.03</v>
      </c>
      <c r="P334" s="119">
        <v>0.2034</v>
      </c>
      <c r="Q334" s="120">
        <v>0</v>
      </c>
      <c r="R334" s="118">
        <v>77.75</v>
      </c>
    </row>
    <row r="335" spans="1:18" ht="15" customHeight="1" x14ac:dyDescent="0.55000000000000004">
      <c r="A335" s="114" t="s">
        <v>261</v>
      </c>
      <c r="B335" s="115" t="s">
        <v>262</v>
      </c>
      <c r="C335" s="116" t="s">
        <v>215</v>
      </c>
      <c r="D335" s="114" t="s">
        <v>59</v>
      </c>
      <c r="E335" s="114" t="s">
        <v>44</v>
      </c>
      <c r="F335" s="114" t="s">
        <v>60</v>
      </c>
      <c r="G335" s="117">
        <v>42400</v>
      </c>
      <c r="H335" s="118">
        <v>88.85</v>
      </c>
      <c r="I335" s="118">
        <v>57.84</v>
      </c>
      <c r="J335" s="119">
        <v>0.65100000000000002</v>
      </c>
      <c r="K335" s="120">
        <v>22.51</v>
      </c>
      <c r="L335" s="119">
        <v>2.1399999999999999E-2</v>
      </c>
      <c r="M335" s="120">
        <v>1</v>
      </c>
      <c r="N335" s="120">
        <v>1.62</v>
      </c>
      <c r="O335" s="118">
        <v>-11.16</v>
      </c>
      <c r="P335" s="119">
        <v>7.0000000000000007E-2</v>
      </c>
      <c r="Q335" s="120">
        <v>6</v>
      </c>
      <c r="R335" s="118">
        <v>28.08</v>
      </c>
    </row>
    <row r="336" spans="1:18" ht="15" customHeight="1" x14ac:dyDescent="0.55000000000000004">
      <c r="A336" s="114" t="s">
        <v>263</v>
      </c>
      <c r="B336" s="115" t="s">
        <v>264</v>
      </c>
      <c r="C336" s="116" t="s">
        <v>215</v>
      </c>
      <c r="D336" s="114" t="s">
        <v>59</v>
      </c>
      <c r="E336" s="114" t="s">
        <v>80</v>
      </c>
      <c r="F336" s="114" t="s">
        <v>81</v>
      </c>
      <c r="G336" s="117">
        <v>42403</v>
      </c>
      <c r="H336" s="118">
        <v>132.97</v>
      </c>
      <c r="I336" s="118">
        <v>159.41</v>
      </c>
      <c r="J336" s="119">
        <v>1.1988000000000001</v>
      </c>
      <c r="K336" s="120">
        <v>21.23</v>
      </c>
      <c r="L336" s="119">
        <v>2.7900000000000001E-2</v>
      </c>
      <c r="M336" s="120">
        <v>1.1000000000000001</v>
      </c>
      <c r="N336" s="120">
        <v>1.54</v>
      </c>
      <c r="O336" s="118">
        <v>-16.22</v>
      </c>
      <c r="P336" s="119">
        <v>6.3600000000000004E-2</v>
      </c>
      <c r="Q336" s="120">
        <v>20</v>
      </c>
      <c r="R336" s="118">
        <v>58.27</v>
      </c>
    </row>
    <row r="337" spans="1:18" ht="15" customHeight="1" x14ac:dyDescent="0.55000000000000004">
      <c r="A337" s="114" t="s">
        <v>574</v>
      </c>
      <c r="B337" s="115" t="s">
        <v>575</v>
      </c>
      <c r="C337" s="116" t="s">
        <v>479</v>
      </c>
      <c r="D337" s="114" t="s">
        <v>249</v>
      </c>
      <c r="E337" s="114" t="s">
        <v>44</v>
      </c>
      <c r="F337" s="114" t="s">
        <v>250</v>
      </c>
      <c r="G337" s="117">
        <v>42207</v>
      </c>
      <c r="H337" s="118">
        <v>111.93</v>
      </c>
      <c r="I337" s="118">
        <v>69.62</v>
      </c>
      <c r="J337" s="119">
        <v>0.622</v>
      </c>
      <c r="K337" s="120">
        <v>23.92</v>
      </c>
      <c r="L337" s="119">
        <v>4.5100000000000001E-2</v>
      </c>
      <c r="M337" s="120">
        <v>0.7</v>
      </c>
      <c r="N337" s="120">
        <v>0.95</v>
      </c>
      <c r="O337" s="118">
        <v>-14.66</v>
      </c>
      <c r="P337" s="119">
        <v>7.7100000000000002E-2</v>
      </c>
      <c r="Q337" s="114"/>
      <c r="R337" s="114"/>
    </row>
    <row r="338" spans="1:18" ht="15" customHeight="1" x14ac:dyDescent="0.55000000000000004">
      <c r="A338" s="114" t="s">
        <v>1103</v>
      </c>
      <c r="B338" s="115" t="s">
        <v>1104</v>
      </c>
      <c r="C338" s="116" t="s">
        <v>98</v>
      </c>
      <c r="D338" s="114" t="s">
        <v>249</v>
      </c>
      <c r="E338" s="114" t="s">
        <v>80</v>
      </c>
      <c r="F338" s="114" t="s">
        <v>377</v>
      </c>
      <c r="G338" s="117">
        <v>42207</v>
      </c>
      <c r="H338" s="118">
        <v>19.55</v>
      </c>
      <c r="I338" s="118">
        <v>66.47</v>
      </c>
      <c r="J338" s="119">
        <v>3.4</v>
      </c>
      <c r="K338" s="120">
        <v>58.82</v>
      </c>
      <c r="L338" s="114" t="s">
        <v>48</v>
      </c>
      <c r="M338" s="121" t="e">
        <v>#N/A</v>
      </c>
      <c r="N338" s="120">
        <v>2.86</v>
      </c>
      <c r="O338" s="118">
        <v>-46.15</v>
      </c>
      <c r="P338" s="119">
        <v>0.25159999999999999</v>
      </c>
      <c r="Q338" s="114"/>
      <c r="R338" s="114"/>
    </row>
    <row r="339" spans="1:18" ht="15" customHeight="1" x14ac:dyDescent="0.55000000000000004">
      <c r="A339" s="114" t="s">
        <v>576</v>
      </c>
      <c r="B339" s="115" t="s">
        <v>577</v>
      </c>
      <c r="C339" s="116" t="s">
        <v>479</v>
      </c>
      <c r="D339" s="114" t="s">
        <v>59</v>
      </c>
      <c r="E339" s="114" t="s">
        <v>80</v>
      </c>
      <c r="F339" s="114" t="s">
        <v>81</v>
      </c>
      <c r="G339" s="117">
        <v>42394</v>
      </c>
      <c r="H339" s="118">
        <v>94.4</v>
      </c>
      <c r="I339" s="118">
        <v>127.75</v>
      </c>
      <c r="J339" s="119">
        <v>1.3532999999999999</v>
      </c>
      <c r="K339" s="120">
        <v>52.14</v>
      </c>
      <c r="L339" s="114" t="s">
        <v>48</v>
      </c>
      <c r="M339" s="120">
        <v>0.5</v>
      </c>
      <c r="N339" s="120">
        <v>7.43</v>
      </c>
      <c r="O339" s="118">
        <v>13.46</v>
      </c>
      <c r="P339" s="119">
        <v>0.21820000000000001</v>
      </c>
      <c r="Q339" s="120">
        <v>0</v>
      </c>
      <c r="R339" s="118">
        <v>38.840000000000003</v>
      </c>
    </row>
    <row r="340" spans="1:18" ht="15" customHeight="1" x14ac:dyDescent="0.55000000000000004">
      <c r="A340" s="114" t="s">
        <v>934</v>
      </c>
      <c r="B340" s="115" t="s">
        <v>935</v>
      </c>
      <c r="C340" s="116" t="s">
        <v>829</v>
      </c>
      <c r="D340" s="114" t="s">
        <v>249</v>
      </c>
      <c r="E340" s="114" t="s">
        <v>80</v>
      </c>
      <c r="F340" s="114" t="s">
        <v>377</v>
      </c>
      <c r="G340" s="117">
        <v>42025</v>
      </c>
      <c r="H340" s="118">
        <v>10.16</v>
      </c>
      <c r="I340" s="118">
        <v>61.5</v>
      </c>
      <c r="J340" s="119">
        <v>6.0530999999999997</v>
      </c>
      <c r="K340" s="120">
        <v>28.21</v>
      </c>
      <c r="L340" s="119">
        <v>3.6700000000000003E-2</v>
      </c>
      <c r="M340" s="120">
        <v>0.5</v>
      </c>
      <c r="N340" s="120">
        <v>0.77</v>
      </c>
      <c r="O340" s="118">
        <v>-12.18</v>
      </c>
      <c r="P340" s="119">
        <v>9.8599999999999993E-2</v>
      </c>
      <c r="Q340" s="114"/>
      <c r="R340" s="114"/>
    </row>
    <row r="341" spans="1:18" ht="15" customHeight="1" x14ac:dyDescent="0.55000000000000004">
      <c r="A341" s="114" t="s">
        <v>578</v>
      </c>
      <c r="B341" s="115" t="s">
        <v>579</v>
      </c>
      <c r="C341" s="116" t="s">
        <v>479</v>
      </c>
      <c r="D341" s="114" t="s">
        <v>249</v>
      </c>
      <c r="E341" s="114" t="s">
        <v>44</v>
      </c>
      <c r="F341" s="114" t="s">
        <v>250</v>
      </c>
      <c r="G341" s="117">
        <v>42394</v>
      </c>
      <c r="H341" s="118">
        <v>114.95</v>
      </c>
      <c r="I341" s="118">
        <v>85.3</v>
      </c>
      <c r="J341" s="119">
        <v>0.74209999999999998</v>
      </c>
      <c r="K341" s="120">
        <v>17.66</v>
      </c>
      <c r="L341" s="119">
        <v>2.53E-2</v>
      </c>
      <c r="M341" s="120">
        <v>1.2</v>
      </c>
      <c r="N341" s="120">
        <v>1.23</v>
      </c>
      <c r="O341" s="118">
        <v>-16.34</v>
      </c>
      <c r="P341" s="119">
        <v>4.58E-2</v>
      </c>
      <c r="Q341" s="120">
        <v>18</v>
      </c>
      <c r="R341" s="118">
        <v>29.85</v>
      </c>
    </row>
    <row r="342" spans="1:18" ht="15" customHeight="1" x14ac:dyDescent="0.55000000000000004">
      <c r="A342" s="114" t="s">
        <v>419</v>
      </c>
      <c r="B342" s="115" t="s">
        <v>420</v>
      </c>
      <c r="C342" s="116" t="s">
        <v>304</v>
      </c>
      <c r="D342" s="114" t="s">
        <v>249</v>
      </c>
      <c r="E342" s="114" t="s">
        <v>80</v>
      </c>
      <c r="F342" s="114" t="s">
        <v>377</v>
      </c>
      <c r="G342" s="117">
        <v>42291</v>
      </c>
      <c r="H342" s="118">
        <v>17.25</v>
      </c>
      <c r="I342" s="118">
        <v>28.16</v>
      </c>
      <c r="J342" s="119">
        <v>1.6325000000000001</v>
      </c>
      <c r="K342" s="120">
        <v>7.82</v>
      </c>
      <c r="L342" s="119">
        <v>3.9100000000000003E-2</v>
      </c>
      <c r="M342" s="120">
        <v>1.5</v>
      </c>
      <c r="N342" s="120">
        <v>2.71</v>
      </c>
      <c r="O342" s="118">
        <v>-6.99</v>
      </c>
      <c r="P342" s="119">
        <v>-3.3999999999999998E-3</v>
      </c>
      <c r="Q342" s="120">
        <v>1</v>
      </c>
      <c r="R342" s="118">
        <v>44.59</v>
      </c>
    </row>
    <row r="343" spans="1:18" ht="15" customHeight="1" x14ac:dyDescent="0.55000000000000004">
      <c r="A343" s="114" t="s">
        <v>421</v>
      </c>
      <c r="B343" s="115" t="s">
        <v>422</v>
      </c>
      <c r="C343" s="116" t="s">
        <v>304</v>
      </c>
      <c r="D343" s="114" t="s">
        <v>249</v>
      </c>
      <c r="E343" s="114" t="s">
        <v>44</v>
      </c>
      <c r="F343" s="114" t="s">
        <v>250</v>
      </c>
      <c r="G343" s="117">
        <v>42208</v>
      </c>
      <c r="H343" s="118">
        <v>172.12</v>
      </c>
      <c r="I343" s="118">
        <v>34.71</v>
      </c>
      <c r="J343" s="119">
        <v>0.20169999999999999</v>
      </c>
      <c r="K343" s="120">
        <v>7.77</v>
      </c>
      <c r="L343" s="119">
        <v>3.6900000000000002E-2</v>
      </c>
      <c r="M343" s="120">
        <v>2.2999999999999998</v>
      </c>
      <c r="N343" s="120">
        <v>1.32</v>
      </c>
      <c r="O343" s="118">
        <v>-14.17</v>
      </c>
      <c r="P343" s="119">
        <v>-3.7000000000000002E-3</v>
      </c>
      <c r="Q343" s="114"/>
      <c r="R343" s="114"/>
    </row>
    <row r="344" spans="1:18" ht="15" customHeight="1" x14ac:dyDescent="0.55000000000000004">
      <c r="A344" s="114" t="s">
        <v>678</v>
      </c>
      <c r="B344" s="115" t="s">
        <v>679</v>
      </c>
      <c r="C344" s="116" t="s">
        <v>634</v>
      </c>
      <c r="D344" s="114" t="s">
        <v>59</v>
      </c>
      <c r="E344" s="114" t="s">
        <v>80</v>
      </c>
      <c r="F344" s="114" t="s">
        <v>81</v>
      </c>
      <c r="G344" s="117">
        <v>42319</v>
      </c>
      <c r="H344" s="118">
        <v>27.04</v>
      </c>
      <c r="I344" s="118">
        <v>52.27</v>
      </c>
      <c r="J344" s="119">
        <v>1.9331</v>
      </c>
      <c r="K344" s="120">
        <v>21.08</v>
      </c>
      <c r="L344" s="119">
        <v>3.5200000000000002E-2</v>
      </c>
      <c r="M344" s="120">
        <v>0.7</v>
      </c>
      <c r="N344" s="120">
        <v>1.62</v>
      </c>
      <c r="O344" s="118">
        <v>-9.5500000000000007</v>
      </c>
      <c r="P344" s="119">
        <v>6.2899999999999998E-2</v>
      </c>
      <c r="Q344" s="120">
        <v>5</v>
      </c>
      <c r="R344" s="118">
        <v>27.58</v>
      </c>
    </row>
    <row r="345" spans="1:18" ht="15" customHeight="1" x14ac:dyDescent="0.55000000000000004">
      <c r="A345" s="114" t="s">
        <v>580</v>
      </c>
      <c r="B345" s="115" t="s">
        <v>581</v>
      </c>
      <c r="C345" s="116" t="s">
        <v>479</v>
      </c>
      <c r="D345" s="114" t="s">
        <v>249</v>
      </c>
      <c r="E345" s="114" t="s">
        <v>98</v>
      </c>
      <c r="F345" s="114" t="s">
        <v>412</v>
      </c>
      <c r="G345" s="117">
        <v>42084</v>
      </c>
      <c r="H345" s="118">
        <v>10.69</v>
      </c>
      <c r="I345" s="118">
        <v>9.1199999999999992</v>
      </c>
      <c r="J345" s="119">
        <v>0.85309999999999997</v>
      </c>
      <c r="K345" s="120">
        <v>2.7</v>
      </c>
      <c r="L345" s="119">
        <v>2.1899999999999999E-2</v>
      </c>
      <c r="M345" s="120">
        <v>2.1</v>
      </c>
      <c r="N345" s="120">
        <v>1.05</v>
      </c>
      <c r="O345" s="118">
        <v>-15.29</v>
      </c>
      <c r="P345" s="119">
        <v>-2.9000000000000001E-2</v>
      </c>
      <c r="Q345" s="114"/>
      <c r="R345" s="114"/>
    </row>
    <row r="346" spans="1:18" ht="15" customHeight="1" x14ac:dyDescent="0.55000000000000004">
      <c r="A346" s="114" t="s">
        <v>936</v>
      </c>
      <c r="B346" s="115" t="s">
        <v>937</v>
      </c>
      <c r="C346" s="116" t="s">
        <v>829</v>
      </c>
      <c r="D346" s="114" t="s">
        <v>249</v>
      </c>
      <c r="E346" s="114" t="s">
        <v>80</v>
      </c>
      <c r="F346" s="114" t="s">
        <v>377</v>
      </c>
      <c r="G346" s="117">
        <v>42037</v>
      </c>
      <c r="H346" s="118">
        <v>10.58</v>
      </c>
      <c r="I346" s="118">
        <v>26.1</v>
      </c>
      <c r="J346" s="119">
        <v>2.4668999999999999</v>
      </c>
      <c r="K346" s="120">
        <v>15.44</v>
      </c>
      <c r="L346" s="119">
        <v>2.3E-2</v>
      </c>
      <c r="M346" s="120">
        <v>2.2999999999999998</v>
      </c>
      <c r="N346" s="114" t="s">
        <v>48</v>
      </c>
      <c r="O346" s="114" t="s">
        <v>48</v>
      </c>
      <c r="P346" s="119">
        <v>3.4700000000000002E-2</v>
      </c>
      <c r="Q346" s="114"/>
      <c r="R346" s="114"/>
    </row>
    <row r="347" spans="1:18" ht="15" customHeight="1" x14ac:dyDescent="0.55000000000000004">
      <c r="A347" s="114" t="s">
        <v>680</v>
      </c>
      <c r="B347" s="115" t="s">
        <v>681</v>
      </c>
      <c r="C347" s="116" t="s">
        <v>634</v>
      </c>
      <c r="D347" s="114" t="s">
        <v>59</v>
      </c>
      <c r="E347" s="114" t="s">
        <v>80</v>
      </c>
      <c r="F347" s="114" t="s">
        <v>81</v>
      </c>
      <c r="G347" s="117">
        <v>42409</v>
      </c>
      <c r="H347" s="118">
        <v>19.79</v>
      </c>
      <c r="I347" s="118">
        <v>52.95</v>
      </c>
      <c r="J347" s="119">
        <v>2.6756000000000002</v>
      </c>
      <c r="K347" s="120">
        <v>24.29</v>
      </c>
      <c r="L347" s="119">
        <v>2.7199999999999998E-2</v>
      </c>
      <c r="M347" s="120">
        <v>1</v>
      </c>
      <c r="N347" s="120">
        <v>3</v>
      </c>
      <c r="O347" s="118">
        <v>3.05</v>
      </c>
      <c r="P347" s="119">
        <v>7.8899999999999998E-2</v>
      </c>
      <c r="Q347" s="120">
        <v>14</v>
      </c>
      <c r="R347" s="118">
        <v>22.68</v>
      </c>
    </row>
    <row r="348" spans="1:18" ht="15" customHeight="1" x14ac:dyDescent="0.55000000000000004">
      <c r="A348" s="114" t="s">
        <v>191</v>
      </c>
      <c r="B348" s="115" t="s">
        <v>192</v>
      </c>
      <c r="C348" s="116" t="s">
        <v>142</v>
      </c>
      <c r="D348" s="114" t="s">
        <v>59</v>
      </c>
      <c r="E348" s="114" t="s">
        <v>44</v>
      </c>
      <c r="F348" s="114" t="s">
        <v>60</v>
      </c>
      <c r="G348" s="117">
        <v>42404</v>
      </c>
      <c r="H348" s="118">
        <v>142.5</v>
      </c>
      <c r="I348" s="118">
        <v>71.28</v>
      </c>
      <c r="J348" s="119">
        <v>0.50019999999999998</v>
      </c>
      <c r="K348" s="120">
        <v>19.260000000000002</v>
      </c>
      <c r="L348" s="119">
        <v>2.3E-2</v>
      </c>
      <c r="M348" s="120">
        <v>0.5</v>
      </c>
      <c r="N348" s="120">
        <v>2.36</v>
      </c>
      <c r="O348" s="118">
        <v>-17.91</v>
      </c>
      <c r="P348" s="119">
        <v>5.3800000000000001E-2</v>
      </c>
      <c r="Q348" s="120">
        <v>5</v>
      </c>
      <c r="R348" s="114" t="s">
        <v>48</v>
      </c>
    </row>
    <row r="349" spans="1:18" ht="15" customHeight="1" x14ac:dyDescent="0.55000000000000004">
      <c r="A349" s="114" t="s">
        <v>330</v>
      </c>
      <c r="B349" s="115" t="s">
        <v>331</v>
      </c>
      <c r="C349" s="116" t="s">
        <v>297</v>
      </c>
      <c r="D349" s="114" t="s">
        <v>59</v>
      </c>
      <c r="E349" s="114" t="s">
        <v>44</v>
      </c>
      <c r="F349" s="114" t="s">
        <v>60</v>
      </c>
      <c r="G349" s="117">
        <v>42348</v>
      </c>
      <c r="H349" s="118">
        <v>160.09</v>
      </c>
      <c r="I349" s="118">
        <v>108.88</v>
      </c>
      <c r="J349" s="119">
        <v>0.68010000000000004</v>
      </c>
      <c r="K349" s="120">
        <v>14.48</v>
      </c>
      <c r="L349" s="119">
        <v>2.5700000000000001E-2</v>
      </c>
      <c r="M349" s="120">
        <v>0.8</v>
      </c>
      <c r="N349" s="114" t="s">
        <v>48</v>
      </c>
      <c r="O349" s="114" t="s">
        <v>48</v>
      </c>
      <c r="P349" s="119">
        <v>2.9899999999999999E-2</v>
      </c>
      <c r="Q349" s="120">
        <v>0</v>
      </c>
      <c r="R349" s="118">
        <v>121.1</v>
      </c>
    </row>
    <row r="350" spans="1:18" ht="15" customHeight="1" x14ac:dyDescent="0.55000000000000004">
      <c r="A350" s="114" t="s">
        <v>682</v>
      </c>
      <c r="B350" s="115" t="s">
        <v>683</v>
      </c>
      <c r="C350" s="116" t="s">
        <v>634</v>
      </c>
      <c r="D350" s="114" t="s">
        <v>59</v>
      </c>
      <c r="E350" s="114" t="s">
        <v>80</v>
      </c>
      <c r="F350" s="114" t="s">
        <v>81</v>
      </c>
      <c r="G350" s="117">
        <v>42401</v>
      </c>
      <c r="H350" s="118">
        <v>46.96</v>
      </c>
      <c r="I350" s="118">
        <v>57.23</v>
      </c>
      <c r="J350" s="119">
        <v>1.2186999999999999</v>
      </c>
      <c r="K350" s="120">
        <v>18.7</v>
      </c>
      <c r="L350" s="119">
        <v>2.1000000000000001E-2</v>
      </c>
      <c r="M350" s="120">
        <v>1.6</v>
      </c>
      <c r="N350" s="120">
        <v>1.86</v>
      </c>
      <c r="O350" s="118">
        <v>8.2899999999999991</v>
      </c>
      <c r="P350" s="119">
        <v>5.0999999999999997E-2</v>
      </c>
      <c r="Q350" s="120">
        <v>0</v>
      </c>
      <c r="R350" s="118">
        <v>34.33</v>
      </c>
    </row>
    <row r="351" spans="1:18" ht="15" customHeight="1" x14ac:dyDescent="0.55000000000000004">
      <c r="A351" s="114" t="s">
        <v>684</v>
      </c>
      <c r="B351" s="115" t="s">
        <v>685</v>
      </c>
      <c r="C351" s="116" t="s">
        <v>634</v>
      </c>
      <c r="D351" s="114" t="s">
        <v>249</v>
      </c>
      <c r="E351" s="114" t="s">
        <v>44</v>
      </c>
      <c r="F351" s="114" t="s">
        <v>250</v>
      </c>
      <c r="G351" s="117">
        <v>42318</v>
      </c>
      <c r="H351" s="118">
        <v>56.39</v>
      </c>
      <c r="I351" s="118">
        <v>11.68</v>
      </c>
      <c r="J351" s="119">
        <v>0.20710000000000001</v>
      </c>
      <c r="K351" s="120">
        <v>8</v>
      </c>
      <c r="L351" s="114" t="s">
        <v>48</v>
      </c>
      <c r="M351" s="120">
        <v>2.1</v>
      </c>
      <c r="N351" s="120">
        <v>2.2000000000000002</v>
      </c>
      <c r="O351" s="118">
        <v>-2.89</v>
      </c>
      <c r="P351" s="119">
        <v>-2.5000000000000001E-3</v>
      </c>
      <c r="Q351" s="120">
        <v>0</v>
      </c>
      <c r="R351" s="118">
        <v>12.88</v>
      </c>
    </row>
    <row r="352" spans="1:18" ht="15" customHeight="1" x14ac:dyDescent="0.55000000000000004">
      <c r="A352" s="114" t="s">
        <v>788</v>
      </c>
      <c r="B352" s="115" t="s">
        <v>789</v>
      </c>
      <c r="C352" s="116" t="s">
        <v>43</v>
      </c>
      <c r="D352" s="114" t="s">
        <v>249</v>
      </c>
      <c r="E352" s="114" t="s">
        <v>80</v>
      </c>
      <c r="F352" s="114" t="s">
        <v>377</v>
      </c>
      <c r="G352" s="117">
        <v>42326</v>
      </c>
      <c r="H352" s="118">
        <v>0</v>
      </c>
      <c r="I352" s="118">
        <v>19.29</v>
      </c>
      <c r="J352" s="114" t="s">
        <v>48</v>
      </c>
      <c r="K352" s="114" t="s">
        <v>48</v>
      </c>
      <c r="L352" s="119">
        <v>7.2599999999999998E-2</v>
      </c>
      <c r="M352" s="120">
        <v>1.9</v>
      </c>
      <c r="N352" s="120">
        <v>1.31</v>
      </c>
      <c r="O352" s="118">
        <v>-25.75</v>
      </c>
      <c r="P352" s="119">
        <v>-0.44440000000000002</v>
      </c>
      <c r="Q352" s="120">
        <v>17</v>
      </c>
      <c r="R352" s="114" t="s">
        <v>48</v>
      </c>
    </row>
    <row r="353" spans="1:18" ht="15" customHeight="1" x14ac:dyDescent="0.55000000000000004">
      <c r="A353" s="114" t="s">
        <v>582</v>
      </c>
      <c r="B353" s="115" t="s">
        <v>583</v>
      </c>
      <c r="C353" s="116" t="s">
        <v>479</v>
      </c>
      <c r="D353" s="114" t="s">
        <v>249</v>
      </c>
      <c r="E353" s="114" t="s">
        <v>44</v>
      </c>
      <c r="F353" s="114" t="s">
        <v>250</v>
      </c>
      <c r="G353" s="117">
        <v>42375</v>
      </c>
      <c r="H353" s="118">
        <v>78.95</v>
      </c>
      <c r="I353" s="118">
        <v>46.12</v>
      </c>
      <c r="J353" s="119">
        <v>0.58420000000000005</v>
      </c>
      <c r="K353" s="120">
        <v>22.5</v>
      </c>
      <c r="L353" s="114" t="s">
        <v>48</v>
      </c>
      <c r="M353" s="120">
        <v>1.3</v>
      </c>
      <c r="N353" s="120">
        <v>1.76</v>
      </c>
      <c r="O353" s="118">
        <v>-9.76</v>
      </c>
      <c r="P353" s="119">
        <v>7.0000000000000007E-2</v>
      </c>
      <c r="Q353" s="120">
        <v>0</v>
      </c>
      <c r="R353" s="118">
        <v>33.369999999999997</v>
      </c>
    </row>
    <row r="354" spans="1:18" ht="15" customHeight="1" x14ac:dyDescent="0.55000000000000004">
      <c r="A354" s="114" t="s">
        <v>423</v>
      </c>
      <c r="B354" s="115" t="s">
        <v>424</v>
      </c>
      <c r="C354" s="116" t="s">
        <v>304</v>
      </c>
      <c r="D354" s="114" t="s">
        <v>249</v>
      </c>
      <c r="E354" s="114" t="s">
        <v>44</v>
      </c>
      <c r="F354" s="114" t="s">
        <v>250</v>
      </c>
      <c r="G354" s="117">
        <v>42214</v>
      </c>
      <c r="H354" s="118">
        <v>85.14</v>
      </c>
      <c r="I354" s="118">
        <v>10.89</v>
      </c>
      <c r="J354" s="119">
        <v>0.12790000000000001</v>
      </c>
      <c r="K354" s="120">
        <v>4.93</v>
      </c>
      <c r="L354" s="119">
        <v>5.8799999999999998E-2</v>
      </c>
      <c r="M354" s="121" t="e">
        <v>#N/A</v>
      </c>
      <c r="N354" s="114" t="s">
        <v>48</v>
      </c>
      <c r="O354" s="114" t="s">
        <v>48</v>
      </c>
      <c r="P354" s="119">
        <v>-1.7899999999999999E-2</v>
      </c>
      <c r="Q354" s="114"/>
      <c r="R354" s="114"/>
    </row>
    <row r="355" spans="1:18" ht="15" customHeight="1" x14ac:dyDescent="0.55000000000000004">
      <c r="A355" s="114" t="s">
        <v>938</v>
      </c>
      <c r="B355" s="115" t="s">
        <v>939</v>
      </c>
      <c r="C355" s="116" t="s">
        <v>829</v>
      </c>
      <c r="D355" s="114" t="s">
        <v>249</v>
      </c>
      <c r="E355" s="114" t="s">
        <v>98</v>
      </c>
      <c r="F355" s="114" t="s">
        <v>412</v>
      </c>
      <c r="G355" s="117">
        <v>42049</v>
      </c>
      <c r="H355" s="118">
        <v>38.07</v>
      </c>
      <c r="I355" s="118">
        <v>31.05</v>
      </c>
      <c r="J355" s="119">
        <v>0.81559999999999999</v>
      </c>
      <c r="K355" s="120">
        <v>13.38</v>
      </c>
      <c r="L355" s="119">
        <v>1.29E-2</v>
      </c>
      <c r="M355" s="120">
        <v>1.4</v>
      </c>
      <c r="N355" s="120">
        <v>1.02</v>
      </c>
      <c r="O355" s="118">
        <v>-24.46</v>
      </c>
      <c r="P355" s="119">
        <v>2.4400000000000002E-2</v>
      </c>
      <c r="Q355" s="114"/>
      <c r="R355" s="114"/>
    </row>
    <row r="356" spans="1:18" ht="15" customHeight="1" x14ac:dyDescent="0.55000000000000004">
      <c r="A356" s="114" t="s">
        <v>940</v>
      </c>
      <c r="B356" s="115" t="s">
        <v>941</v>
      </c>
      <c r="C356" s="116" t="s">
        <v>829</v>
      </c>
      <c r="D356" s="114" t="s">
        <v>249</v>
      </c>
      <c r="E356" s="114" t="s">
        <v>80</v>
      </c>
      <c r="F356" s="114" t="s">
        <v>377</v>
      </c>
      <c r="G356" s="117">
        <v>42062</v>
      </c>
      <c r="H356" s="118">
        <v>0</v>
      </c>
      <c r="I356" s="118">
        <v>7.47</v>
      </c>
      <c r="J356" s="114" t="s">
        <v>48</v>
      </c>
      <c r="K356" s="120">
        <v>10.52</v>
      </c>
      <c r="L356" s="119">
        <v>3.2099999999999997E-2</v>
      </c>
      <c r="M356" s="120">
        <v>2.4</v>
      </c>
      <c r="N356" s="120">
        <v>1.97</v>
      </c>
      <c r="O356" s="118">
        <v>-13.44</v>
      </c>
      <c r="P356" s="119">
        <v>1.01E-2</v>
      </c>
      <c r="Q356" s="114"/>
      <c r="R356" s="114"/>
    </row>
    <row r="357" spans="1:18" ht="15" customHeight="1" x14ac:dyDescent="0.55000000000000004">
      <c r="A357" s="114" t="s">
        <v>1105</v>
      </c>
      <c r="B357" s="115" t="s">
        <v>1106</v>
      </c>
      <c r="C357" s="116" t="s">
        <v>98</v>
      </c>
      <c r="D357" s="114" t="s">
        <v>249</v>
      </c>
      <c r="E357" s="114" t="s">
        <v>80</v>
      </c>
      <c r="F357" s="114" t="s">
        <v>377</v>
      </c>
      <c r="G357" s="117">
        <v>42090</v>
      </c>
      <c r="H357" s="118">
        <v>34.130000000000003</v>
      </c>
      <c r="I357" s="118">
        <v>64.489999999999995</v>
      </c>
      <c r="J357" s="119">
        <v>1.8895</v>
      </c>
      <c r="K357" s="120">
        <v>29.05</v>
      </c>
      <c r="L357" s="119">
        <v>1.55E-2</v>
      </c>
      <c r="M357" s="120">
        <v>0.8</v>
      </c>
      <c r="N357" s="120">
        <v>1.1399999999999999</v>
      </c>
      <c r="O357" s="118">
        <v>-16.760000000000002</v>
      </c>
      <c r="P357" s="119">
        <v>0.1027</v>
      </c>
      <c r="Q357" s="114"/>
      <c r="R357" s="114"/>
    </row>
    <row r="358" spans="1:18" ht="15" customHeight="1" x14ac:dyDescent="0.55000000000000004">
      <c r="A358" s="114" t="s">
        <v>942</v>
      </c>
      <c r="B358" s="115" t="s">
        <v>943</v>
      </c>
      <c r="C358" s="116" t="s">
        <v>829</v>
      </c>
      <c r="D358" s="114" t="s">
        <v>249</v>
      </c>
      <c r="E358" s="114" t="s">
        <v>80</v>
      </c>
      <c r="F358" s="114" t="s">
        <v>377</v>
      </c>
      <c r="G358" s="117">
        <v>42102</v>
      </c>
      <c r="H358" s="118">
        <v>0</v>
      </c>
      <c r="I358" s="118">
        <v>9.2899999999999991</v>
      </c>
      <c r="J358" s="114" t="s">
        <v>48</v>
      </c>
      <c r="K358" s="120">
        <v>5.7</v>
      </c>
      <c r="L358" s="119">
        <v>6.4600000000000005E-2</v>
      </c>
      <c r="M358" s="120">
        <v>1.9</v>
      </c>
      <c r="N358" s="120">
        <v>1.39</v>
      </c>
      <c r="O358" s="118">
        <v>-23.21</v>
      </c>
      <c r="P358" s="119">
        <v>-1.4E-2</v>
      </c>
      <c r="Q358" s="114"/>
      <c r="R358" s="114"/>
    </row>
    <row r="359" spans="1:18" ht="15" customHeight="1" x14ac:dyDescent="0.55000000000000004">
      <c r="A359" s="114" t="s">
        <v>425</v>
      </c>
      <c r="B359" s="115" t="s">
        <v>426</v>
      </c>
      <c r="C359" s="116" t="s">
        <v>304</v>
      </c>
      <c r="D359" s="114" t="s">
        <v>249</v>
      </c>
      <c r="E359" s="114" t="s">
        <v>80</v>
      </c>
      <c r="F359" s="114" t="s">
        <v>377</v>
      </c>
      <c r="G359" s="117">
        <v>42229</v>
      </c>
      <c r="H359" s="118">
        <v>72.64</v>
      </c>
      <c r="I359" s="118">
        <v>112.36</v>
      </c>
      <c r="J359" s="119">
        <v>1.5468</v>
      </c>
      <c r="K359" s="120">
        <v>21.78</v>
      </c>
      <c r="L359" s="119">
        <v>3.1E-2</v>
      </c>
      <c r="M359" s="120">
        <v>0.3</v>
      </c>
      <c r="N359" s="120">
        <v>0.67</v>
      </c>
      <c r="O359" s="118">
        <v>-110.23</v>
      </c>
      <c r="P359" s="119">
        <v>6.6400000000000001E-2</v>
      </c>
      <c r="Q359" s="120">
        <v>20</v>
      </c>
      <c r="R359" s="114"/>
    </row>
    <row r="360" spans="1:18" ht="15" customHeight="1" x14ac:dyDescent="0.55000000000000004">
      <c r="A360" s="114" t="s">
        <v>1107</v>
      </c>
      <c r="B360" s="115" t="s">
        <v>1108</v>
      </c>
      <c r="C360" s="116" t="s">
        <v>98</v>
      </c>
      <c r="D360" s="114" t="s">
        <v>249</v>
      </c>
      <c r="E360" s="114" t="s">
        <v>80</v>
      </c>
      <c r="F360" s="114" t="s">
        <v>377</v>
      </c>
      <c r="G360" s="117">
        <v>42104</v>
      </c>
      <c r="H360" s="118">
        <v>0</v>
      </c>
      <c r="I360" s="118">
        <v>26.23</v>
      </c>
      <c r="J360" s="114" t="s">
        <v>48</v>
      </c>
      <c r="K360" s="120">
        <v>238.45</v>
      </c>
      <c r="L360" s="119">
        <v>3.8E-3</v>
      </c>
      <c r="M360" s="120">
        <v>0.1</v>
      </c>
      <c r="N360" s="120">
        <v>2.4700000000000002</v>
      </c>
      <c r="O360" s="118">
        <v>-18.440000000000001</v>
      </c>
      <c r="P360" s="119">
        <v>1.1497999999999999</v>
      </c>
      <c r="Q360" s="114"/>
      <c r="R360" s="114"/>
    </row>
    <row r="361" spans="1:18" ht="15" customHeight="1" x14ac:dyDescent="0.55000000000000004">
      <c r="A361" s="114" t="s">
        <v>1109</v>
      </c>
      <c r="B361" s="115" t="s">
        <v>1110</v>
      </c>
      <c r="C361" s="116" t="s">
        <v>98</v>
      </c>
      <c r="D361" s="114" t="s">
        <v>249</v>
      </c>
      <c r="E361" s="114" t="s">
        <v>80</v>
      </c>
      <c r="F361" s="114" t="s">
        <v>377</v>
      </c>
      <c r="G361" s="117">
        <v>42321</v>
      </c>
      <c r="H361" s="118">
        <v>0.95</v>
      </c>
      <c r="I361" s="118">
        <v>97.61</v>
      </c>
      <c r="J361" s="119">
        <v>102.7474</v>
      </c>
      <c r="K361" s="120">
        <v>295.79000000000002</v>
      </c>
      <c r="L361" s="114" t="s">
        <v>48</v>
      </c>
      <c r="M361" s="120">
        <v>1.7</v>
      </c>
      <c r="N361" s="120">
        <v>1.67</v>
      </c>
      <c r="O361" s="118">
        <v>-4.9800000000000004</v>
      </c>
      <c r="P361" s="119">
        <v>1.4363999999999999</v>
      </c>
      <c r="Q361" s="120">
        <v>0</v>
      </c>
      <c r="R361" s="118">
        <v>4.7</v>
      </c>
    </row>
    <row r="362" spans="1:18" ht="15" customHeight="1" x14ac:dyDescent="0.55000000000000004">
      <c r="A362" s="114" t="s">
        <v>1111</v>
      </c>
      <c r="B362" s="115" t="s">
        <v>1112</v>
      </c>
      <c r="C362" s="116" t="s">
        <v>98</v>
      </c>
      <c r="D362" s="114" t="s">
        <v>249</v>
      </c>
      <c r="E362" s="114" t="s">
        <v>80</v>
      </c>
      <c r="F362" s="114" t="s">
        <v>377</v>
      </c>
      <c r="G362" s="117">
        <v>42158</v>
      </c>
      <c r="H362" s="118">
        <v>2.25</v>
      </c>
      <c r="I362" s="118">
        <v>29</v>
      </c>
      <c r="J362" s="119">
        <v>12.8889</v>
      </c>
      <c r="K362" s="120">
        <v>26.61</v>
      </c>
      <c r="L362" s="114" t="s">
        <v>48</v>
      </c>
      <c r="M362" s="120">
        <v>1.3</v>
      </c>
      <c r="N362" s="120">
        <v>1.87</v>
      </c>
      <c r="O362" s="118">
        <v>-26.41</v>
      </c>
      <c r="P362" s="119">
        <v>9.0499999999999997E-2</v>
      </c>
      <c r="Q362" s="114"/>
      <c r="R362" s="114"/>
    </row>
    <row r="363" spans="1:18" ht="15" customHeight="1" x14ac:dyDescent="0.55000000000000004">
      <c r="A363" s="114" t="s">
        <v>427</v>
      </c>
      <c r="B363" s="115" t="s">
        <v>428</v>
      </c>
      <c r="C363" s="116" t="s">
        <v>304</v>
      </c>
      <c r="D363" s="114" t="s">
        <v>249</v>
      </c>
      <c r="E363" s="114" t="s">
        <v>44</v>
      </c>
      <c r="F363" s="114" t="s">
        <v>250</v>
      </c>
      <c r="G363" s="117">
        <v>42180</v>
      </c>
      <c r="H363" s="118">
        <v>40.93</v>
      </c>
      <c r="I363" s="118">
        <v>22.07</v>
      </c>
      <c r="J363" s="119">
        <v>0.53920000000000001</v>
      </c>
      <c r="K363" s="120">
        <v>13.62</v>
      </c>
      <c r="L363" s="119">
        <v>2.81E-2</v>
      </c>
      <c r="M363" s="120">
        <v>0.2</v>
      </c>
      <c r="N363" s="120">
        <v>0.82</v>
      </c>
      <c r="O363" s="118">
        <v>-50.77</v>
      </c>
      <c r="P363" s="119">
        <v>2.5600000000000001E-2</v>
      </c>
      <c r="Q363" s="114"/>
      <c r="R363" s="114"/>
    </row>
    <row r="364" spans="1:18" ht="15" customHeight="1" x14ac:dyDescent="0.55000000000000004">
      <c r="A364" s="114" t="s">
        <v>265</v>
      </c>
      <c r="B364" s="115" t="s">
        <v>266</v>
      </c>
      <c r="C364" s="116" t="s">
        <v>215</v>
      </c>
      <c r="D364" s="114" t="s">
        <v>59</v>
      </c>
      <c r="E364" s="114" t="s">
        <v>44</v>
      </c>
      <c r="F364" s="114" t="s">
        <v>60</v>
      </c>
      <c r="G364" s="117">
        <v>42320</v>
      </c>
      <c r="H364" s="118">
        <v>97.92</v>
      </c>
      <c r="I364" s="118">
        <v>62.18</v>
      </c>
      <c r="J364" s="119">
        <v>0.63500000000000001</v>
      </c>
      <c r="K364" s="120">
        <v>17.920000000000002</v>
      </c>
      <c r="L364" s="119">
        <v>1.03E-2</v>
      </c>
      <c r="M364" s="120">
        <v>0.6</v>
      </c>
      <c r="N364" s="120">
        <v>2.89</v>
      </c>
      <c r="O364" s="118">
        <v>8.4</v>
      </c>
      <c r="P364" s="119">
        <v>4.7100000000000003E-2</v>
      </c>
      <c r="Q364" s="120">
        <v>8</v>
      </c>
      <c r="R364" s="118">
        <v>37.29</v>
      </c>
    </row>
    <row r="365" spans="1:18" ht="15" customHeight="1" x14ac:dyDescent="0.55000000000000004">
      <c r="A365" s="114" t="s">
        <v>944</v>
      </c>
      <c r="B365" s="115" t="s">
        <v>945</v>
      </c>
      <c r="C365" s="116" t="s">
        <v>829</v>
      </c>
      <c r="D365" s="114" t="s">
        <v>249</v>
      </c>
      <c r="E365" s="114" t="s">
        <v>98</v>
      </c>
      <c r="F365" s="114" t="s">
        <v>412</v>
      </c>
      <c r="G365" s="117">
        <v>42200</v>
      </c>
      <c r="H365" s="118">
        <v>62.91</v>
      </c>
      <c r="I365" s="118">
        <v>50.78</v>
      </c>
      <c r="J365" s="119">
        <v>0.80720000000000003</v>
      </c>
      <c r="K365" s="120">
        <v>31.15</v>
      </c>
      <c r="L365" s="119">
        <v>2.2100000000000002E-2</v>
      </c>
      <c r="M365" s="120">
        <v>0.9</v>
      </c>
      <c r="N365" s="120">
        <v>1.44</v>
      </c>
      <c r="O365" s="118">
        <v>-22.79</v>
      </c>
      <c r="P365" s="119">
        <v>0.1133</v>
      </c>
      <c r="Q365" s="114"/>
      <c r="R365" s="114"/>
    </row>
    <row r="366" spans="1:18" ht="15" customHeight="1" x14ac:dyDescent="0.55000000000000004">
      <c r="A366" s="114" t="s">
        <v>946</v>
      </c>
      <c r="B366" s="115" t="s">
        <v>947</v>
      </c>
      <c r="C366" s="116" t="s">
        <v>829</v>
      </c>
      <c r="D366" s="114" t="s">
        <v>249</v>
      </c>
      <c r="E366" s="114" t="s">
        <v>80</v>
      </c>
      <c r="F366" s="114" t="s">
        <v>377</v>
      </c>
      <c r="G366" s="117">
        <v>42213</v>
      </c>
      <c r="H366" s="118">
        <v>33.729999999999997</v>
      </c>
      <c r="I366" s="118">
        <v>44.39</v>
      </c>
      <c r="J366" s="119">
        <v>1.3160000000000001</v>
      </c>
      <c r="K366" s="120">
        <v>29.79</v>
      </c>
      <c r="L366" s="119">
        <v>3.9199999999999999E-2</v>
      </c>
      <c r="M366" s="120">
        <v>0.3</v>
      </c>
      <c r="N366" s="120">
        <v>0.52</v>
      </c>
      <c r="O366" s="118">
        <v>-14.09</v>
      </c>
      <c r="P366" s="119">
        <v>0.1065</v>
      </c>
      <c r="Q366" s="114"/>
      <c r="R366" s="114"/>
    </row>
    <row r="367" spans="1:18" ht="15" customHeight="1" x14ac:dyDescent="0.55000000000000004">
      <c r="A367" s="123" t="s">
        <v>948</v>
      </c>
      <c r="B367" s="115" t="s">
        <v>949</v>
      </c>
      <c r="C367" s="116" t="s">
        <v>829</v>
      </c>
      <c r="D367" s="123" t="s">
        <v>249</v>
      </c>
      <c r="E367" s="114" t="s">
        <v>44</v>
      </c>
      <c r="F367" s="114" t="s">
        <v>250</v>
      </c>
      <c r="G367" s="124">
        <v>42313</v>
      </c>
      <c r="H367" s="125">
        <v>276.24</v>
      </c>
      <c r="I367" s="118">
        <v>193.34</v>
      </c>
      <c r="J367" s="119">
        <v>0.69989999999999997</v>
      </c>
      <c r="K367" s="120">
        <v>21.39</v>
      </c>
      <c r="L367" s="119">
        <v>1.66E-2</v>
      </c>
      <c r="M367" s="120">
        <v>0.9</v>
      </c>
      <c r="N367" s="126">
        <v>1.1599999999999999</v>
      </c>
      <c r="O367" s="125">
        <v>-65.56</v>
      </c>
      <c r="P367" s="119">
        <v>6.4399999999999999E-2</v>
      </c>
      <c r="Q367" s="126">
        <v>12</v>
      </c>
      <c r="R367" s="125">
        <v>82.34</v>
      </c>
    </row>
    <row r="368" spans="1:18" ht="15" customHeight="1" x14ac:dyDescent="0.55000000000000004">
      <c r="A368" s="114" t="s">
        <v>116</v>
      </c>
      <c r="B368" s="115" t="s">
        <v>117</v>
      </c>
      <c r="C368" s="116" t="s">
        <v>79</v>
      </c>
      <c r="D368" s="114" t="s">
        <v>59</v>
      </c>
      <c r="E368" s="114" t="s">
        <v>44</v>
      </c>
      <c r="F368" s="114" t="s">
        <v>60</v>
      </c>
      <c r="G368" s="117">
        <v>42404</v>
      </c>
      <c r="H368" s="118">
        <v>40.92</v>
      </c>
      <c r="I368" s="118">
        <v>30.5</v>
      </c>
      <c r="J368" s="119">
        <v>0.74539999999999995</v>
      </c>
      <c r="K368" s="120">
        <v>7</v>
      </c>
      <c r="L368" s="119">
        <v>6.0299999999999999E-2</v>
      </c>
      <c r="M368" s="120">
        <v>1.6</v>
      </c>
      <c r="N368" s="120">
        <v>2.4900000000000002</v>
      </c>
      <c r="O368" s="118">
        <v>3.76</v>
      </c>
      <c r="P368" s="119">
        <v>-7.4999999999999997E-3</v>
      </c>
      <c r="Q368" s="120">
        <v>7</v>
      </c>
      <c r="R368" s="118">
        <v>45.29</v>
      </c>
    </row>
    <row r="369" spans="1:18" ht="15" customHeight="1" x14ac:dyDescent="0.55000000000000004">
      <c r="A369" s="114" t="s">
        <v>429</v>
      </c>
      <c r="B369" s="115" t="s">
        <v>430</v>
      </c>
      <c r="C369" s="116" t="s">
        <v>304</v>
      </c>
      <c r="D369" s="114" t="s">
        <v>59</v>
      </c>
      <c r="E369" s="114" t="s">
        <v>80</v>
      </c>
      <c r="F369" s="114" t="s">
        <v>81</v>
      </c>
      <c r="G369" s="117">
        <v>42400</v>
      </c>
      <c r="H369" s="118">
        <v>28.4</v>
      </c>
      <c r="I369" s="118">
        <v>79.319999999999993</v>
      </c>
      <c r="J369" s="119">
        <v>2.7930000000000001</v>
      </c>
      <c r="K369" s="120">
        <v>16.88</v>
      </c>
      <c r="L369" s="119">
        <v>1.26E-2</v>
      </c>
      <c r="M369" s="120">
        <v>0.7</v>
      </c>
      <c r="N369" s="120">
        <v>5.39</v>
      </c>
      <c r="O369" s="118">
        <v>28.4</v>
      </c>
      <c r="P369" s="119">
        <v>4.19E-2</v>
      </c>
      <c r="Q369" s="120">
        <v>2</v>
      </c>
      <c r="R369" s="118">
        <v>63.38</v>
      </c>
    </row>
    <row r="370" spans="1:18" ht="15" customHeight="1" x14ac:dyDescent="0.55000000000000004">
      <c r="A370" s="114" t="s">
        <v>950</v>
      </c>
      <c r="B370" s="115" t="s">
        <v>951</v>
      </c>
      <c r="C370" s="116" t="s">
        <v>829</v>
      </c>
      <c r="D370" s="114" t="s">
        <v>249</v>
      </c>
      <c r="E370" s="114" t="s">
        <v>80</v>
      </c>
      <c r="F370" s="114" t="s">
        <v>377</v>
      </c>
      <c r="G370" s="117">
        <v>42280</v>
      </c>
      <c r="H370" s="118">
        <v>5.7</v>
      </c>
      <c r="I370" s="118">
        <v>9.49</v>
      </c>
      <c r="J370" s="119">
        <v>1.6649</v>
      </c>
      <c r="K370" s="120">
        <v>9.1300000000000008</v>
      </c>
      <c r="L370" s="119">
        <v>0.18970000000000001</v>
      </c>
      <c r="M370" s="120">
        <v>0.7</v>
      </c>
      <c r="N370" s="120">
        <v>0.46</v>
      </c>
      <c r="O370" s="118">
        <v>-12.85</v>
      </c>
      <c r="P370" s="119">
        <v>3.0999999999999999E-3</v>
      </c>
      <c r="Q370" s="120">
        <v>0</v>
      </c>
      <c r="R370" s="118">
        <v>8.58</v>
      </c>
    </row>
    <row r="371" spans="1:18" ht="15" customHeight="1" x14ac:dyDescent="0.55000000000000004">
      <c r="A371" s="114" t="s">
        <v>193</v>
      </c>
      <c r="B371" s="115" t="s">
        <v>194</v>
      </c>
      <c r="C371" s="116" t="s">
        <v>142</v>
      </c>
      <c r="D371" s="114" t="s">
        <v>43</v>
      </c>
      <c r="E371" s="114" t="s">
        <v>98</v>
      </c>
      <c r="F371" s="114" t="s">
        <v>132</v>
      </c>
      <c r="G371" s="117">
        <v>42403</v>
      </c>
      <c r="H371" s="118">
        <v>78.23</v>
      </c>
      <c r="I371" s="118">
        <v>76.400000000000006</v>
      </c>
      <c r="J371" s="119">
        <v>0.97660000000000002</v>
      </c>
      <c r="K371" s="120">
        <v>13.69</v>
      </c>
      <c r="L371" s="119">
        <v>3.09E-2</v>
      </c>
      <c r="M371" s="120">
        <v>1.3</v>
      </c>
      <c r="N371" s="120">
        <v>1.18</v>
      </c>
      <c r="O371" s="118">
        <v>-65.11</v>
      </c>
      <c r="P371" s="119">
        <v>2.5999999999999999E-2</v>
      </c>
      <c r="Q371" s="120">
        <v>15</v>
      </c>
      <c r="R371" s="118">
        <v>67.77</v>
      </c>
    </row>
    <row r="372" spans="1:18" ht="15" customHeight="1" x14ac:dyDescent="0.55000000000000004">
      <c r="A372" s="114" t="s">
        <v>332</v>
      </c>
      <c r="B372" s="115" t="s">
        <v>333</v>
      </c>
      <c r="C372" s="116" t="s">
        <v>297</v>
      </c>
      <c r="D372" s="114" t="s">
        <v>43</v>
      </c>
      <c r="E372" s="114" t="s">
        <v>44</v>
      </c>
      <c r="F372" s="114" t="s">
        <v>45</v>
      </c>
      <c r="G372" s="117">
        <v>42271</v>
      </c>
      <c r="H372" s="118">
        <v>37.94</v>
      </c>
      <c r="I372" s="118">
        <v>25.69</v>
      </c>
      <c r="J372" s="119">
        <v>0.67710000000000004</v>
      </c>
      <c r="K372" s="120">
        <v>14.04</v>
      </c>
      <c r="L372" s="119">
        <v>2.8000000000000001E-2</v>
      </c>
      <c r="M372" s="120">
        <v>1.7</v>
      </c>
      <c r="N372" s="120">
        <v>2.4700000000000002</v>
      </c>
      <c r="O372" s="118">
        <v>1.39</v>
      </c>
      <c r="P372" s="119">
        <v>2.7699999999999999E-2</v>
      </c>
      <c r="Q372" s="120">
        <v>3</v>
      </c>
      <c r="R372" s="118">
        <v>22</v>
      </c>
    </row>
    <row r="373" spans="1:18" ht="15" customHeight="1" x14ac:dyDescent="0.55000000000000004">
      <c r="A373" s="114" t="s">
        <v>267</v>
      </c>
      <c r="B373" s="115" t="s">
        <v>268</v>
      </c>
      <c r="C373" s="116" t="s">
        <v>215</v>
      </c>
      <c r="D373" s="114" t="s">
        <v>59</v>
      </c>
      <c r="E373" s="114" t="s">
        <v>98</v>
      </c>
      <c r="F373" s="114" t="s">
        <v>150</v>
      </c>
      <c r="G373" s="117">
        <v>42394</v>
      </c>
      <c r="H373" s="118">
        <v>63.53</v>
      </c>
      <c r="I373" s="118">
        <v>63.23</v>
      </c>
      <c r="J373" s="119">
        <v>0.99529999999999996</v>
      </c>
      <c r="K373" s="120">
        <v>17.420000000000002</v>
      </c>
      <c r="L373" s="119">
        <v>2.2800000000000001E-2</v>
      </c>
      <c r="M373" s="120">
        <v>1.2</v>
      </c>
      <c r="N373" s="114" t="s">
        <v>48</v>
      </c>
      <c r="O373" s="114" t="s">
        <v>48</v>
      </c>
      <c r="P373" s="119">
        <v>4.4600000000000001E-2</v>
      </c>
      <c r="Q373" s="120">
        <v>5</v>
      </c>
      <c r="R373" s="118">
        <v>57.85</v>
      </c>
    </row>
    <row r="374" spans="1:18" ht="15" customHeight="1" x14ac:dyDescent="0.55000000000000004">
      <c r="A374" s="114" t="s">
        <v>431</v>
      </c>
      <c r="B374" s="115" t="s">
        <v>432</v>
      </c>
      <c r="C374" s="116" t="s">
        <v>304</v>
      </c>
      <c r="D374" s="114" t="s">
        <v>59</v>
      </c>
      <c r="E374" s="114" t="s">
        <v>80</v>
      </c>
      <c r="F374" s="114" t="s">
        <v>81</v>
      </c>
      <c r="G374" s="117">
        <v>42404</v>
      </c>
      <c r="H374" s="118">
        <v>9.09</v>
      </c>
      <c r="I374" s="118">
        <v>42.24</v>
      </c>
      <c r="J374" s="119">
        <v>4.6468999999999996</v>
      </c>
      <c r="K374" s="120">
        <v>29.54</v>
      </c>
      <c r="L374" s="119">
        <v>3.5499999999999997E-2</v>
      </c>
      <c r="M374" s="120">
        <v>1.4</v>
      </c>
      <c r="N374" s="120">
        <v>4.1500000000000004</v>
      </c>
      <c r="O374" s="118">
        <v>-3.37</v>
      </c>
      <c r="P374" s="119">
        <v>0.1052</v>
      </c>
      <c r="Q374" s="120">
        <v>7</v>
      </c>
      <c r="R374" s="118">
        <v>24.4</v>
      </c>
    </row>
    <row r="375" spans="1:18" ht="15" customHeight="1" x14ac:dyDescent="0.55000000000000004">
      <c r="A375" s="114" t="s">
        <v>584</v>
      </c>
      <c r="B375" s="115" t="s">
        <v>585</v>
      </c>
      <c r="C375" s="116" t="s">
        <v>479</v>
      </c>
      <c r="D375" s="114" t="s">
        <v>59</v>
      </c>
      <c r="E375" s="114" t="s">
        <v>80</v>
      </c>
      <c r="F375" s="114" t="s">
        <v>81</v>
      </c>
      <c r="G375" s="117">
        <v>42321</v>
      </c>
      <c r="H375" s="118">
        <v>23.14</v>
      </c>
      <c r="I375" s="118">
        <v>32.94</v>
      </c>
      <c r="J375" s="119">
        <v>1.4235</v>
      </c>
      <c r="K375" s="120">
        <v>40.67</v>
      </c>
      <c r="L375" s="119">
        <v>1.4E-2</v>
      </c>
      <c r="M375" s="120">
        <v>1.3</v>
      </c>
      <c r="N375" s="120">
        <v>6.82</v>
      </c>
      <c r="O375" s="118">
        <v>5.8</v>
      </c>
      <c r="P375" s="119">
        <v>0.1608</v>
      </c>
      <c r="Q375" s="120">
        <v>4</v>
      </c>
      <c r="R375" s="118">
        <v>10.029999999999999</v>
      </c>
    </row>
    <row r="376" spans="1:18" ht="15" customHeight="1" x14ac:dyDescent="0.55000000000000004">
      <c r="A376" s="114" t="s">
        <v>952</v>
      </c>
      <c r="B376" s="115" t="s">
        <v>953</v>
      </c>
      <c r="C376" s="116" t="s">
        <v>829</v>
      </c>
      <c r="D376" s="114" t="s">
        <v>249</v>
      </c>
      <c r="E376" s="114" t="s">
        <v>44</v>
      </c>
      <c r="F376" s="114" t="s">
        <v>250</v>
      </c>
      <c r="G376" s="117">
        <v>42298</v>
      </c>
      <c r="H376" s="118">
        <v>58.52</v>
      </c>
      <c r="I376" s="118">
        <v>40.31</v>
      </c>
      <c r="J376" s="119">
        <v>0.68879999999999997</v>
      </c>
      <c r="K376" s="120">
        <v>26.52</v>
      </c>
      <c r="L376" s="119">
        <v>1.89E-2</v>
      </c>
      <c r="M376" s="120">
        <v>1.3</v>
      </c>
      <c r="N376" s="120">
        <v>1.19</v>
      </c>
      <c r="O376" s="118">
        <v>-8.93</v>
      </c>
      <c r="P376" s="119">
        <v>9.01E-2</v>
      </c>
      <c r="Q376" s="120">
        <v>5</v>
      </c>
      <c r="R376" s="118">
        <v>16.73</v>
      </c>
    </row>
    <row r="377" spans="1:18" ht="15" customHeight="1" x14ac:dyDescent="0.55000000000000004">
      <c r="A377" s="114" t="s">
        <v>954</v>
      </c>
      <c r="B377" s="115" t="s">
        <v>955</v>
      </c>
      <c r="C377" s="116" t="s">
        <v>829</v>
      </c>
      <c r="D377" s="114" t="s">
        <v>249</v>
      </c>
      <c r="E377" s="114" t="s">
        <v>80</v>
      </c>
      <c r="F377" s="114" t="s">
        <v>377</v>
      </c>
      <c r="G377" s="117">
        <v>42312</v>
      </c>
      <c r="H377" s="118">
        <v>1.67</v>
      </c>
      <c r="I377" s="118">
        <v>10.89</v>
      </c>
      <c r="J377" s="119">
        <v>6.5209999999999999</v>
      </c>
      <c r="K377" s="120">
        <v>272.25</v>
      </c>
      <c r="L377" s="119">
        <v>1.84E-2</v>
      </c>
      <c r="M377" s="121" t="e">
        <v>#N/A</v>
      </c>
      <c r="N377" s="120">
        <v>1.84</v>
      </c>
      <c r="O377" s="118">
        <v>1.42</v>
      </c>
      <c r="P377" s="119">
        <v>1.3188</v>
      </c>
      <c r="Q377" s="120">
        <v>0</v>
      </c>
      <c r="R377" s="118">
        <v>14.58</v>
      </c>
    </row>
    <row r="378" spans="1:18" ht="15" customHeight="1" x14ac:dyDescent="0.55000000000000004">
      <c r="A378" s="114" t="s">
        <v>80</v>
      </c>
      <c r="B378" s="115" t="s">
        <v>790</v>
      </c>
      <c r="C378" s="116" t="s">
        <v>43</v>
      </c>
      <c r="D378" s="114" t="s">
        <v>249</v>
      </c>
      <c r="E378" s="114" t="s">
        <v>80</v>
      </c>
      <c r="F378" s="114" t="s">
        <v>377</v>
      </c>
      <c r="G378" s="117">
        <v>41999</v>
      </c>
      <c r="H378" s="118">
        <v>33.549999999999997</v>
      </c>
      <c r="I378" s="118">
        <v>59.06</v>
      </c>
      <c r="J378" s="119">
        <v>1.7604</v>
      </c>
      <c r="K378" s="120">
        <v>38.6</v>
      </c>
      <c r="L378" s="119">
        <v>4.0300000000000002E-2</v>
      </c>
      <c r="M378" s="120">
        <v>0.3</v>
      </c>
      <c r="N378" s="120">
        <v>0.53</v>
      </c>
      <c r="O378" s="118">
        <v>-23.91</v>
      </c>
      <c r="P378" s="119">
        <v>0.15049999999999999</v>
      </c>
      <c r="Q378" s="114"/>
      <c r="R378" s="114"/>
    </row>
    <row r="379" spans="1:18" ht="15" customHeight="1" x14ac:dyDescent="0.55000000000000004">
      <c r="A379" s="114" t="s">
        <v>1113</v>
      </c>
      <c r="B379" s="115" t="s">
        <v>1114</v>
      </c>
      <c r="C379" s="116" t="s">
        <v>98</v>
      </c>
      <c r="D379" s="114" t="s">
        <v>249</v>
      </c>
      <c r="E379" s="114" t="s">
        <v>80</v>
      </c>
      <c r="F379" s="114" t="s">
        <v>377</v>
      </c>
      <c r="G379" s="117">
        <v>42049</v>
      </c>
      <c r="H379" s="118">
        <v>0</v>
      </c>
      <c r="I379" s="118">
        <v>14.68</v>
      </c>
      <c r="J379" s="114" t="s">
        <v>48</v>
      </c>
      <c r="K379" s="120">
        <v>61.17</v>
      </c>
      <c r="L379" s="114" t="s">
        <v>48</v>
      </c>
      <c r="M379" s="120">
        <v>2.1</v>
      </c>
      <c r="N379" s="120">
        <v>1.02</v>
      </c>
      <c r="O379" s="118">
        <v>-26.14</v>
      </c>
      <c r="P379" s="119">
        <v>0.26329999999999998</v>
      </c>
      <c r="Q379" s="114"/>
      <c r="R379" s="114"/>
    </row>
    <row r="380" spans="1:18" ht="15" customHeight="1" x14ac:dyDescent="0.55000000000000004">
      <c r="A380" s="114" t="s">
        <v>956</v>
      </c>
      <c r="B380" s="115" t="s">
        <v>957</v>
      </c>
      <c r="C380" s="116" t="s">
        <v>829</v>
      </c>
      <c r="D380" s="114" t="s">
        <v>249</v>
      </c>
      <c r="E380" s="114" t="s">
        <v>80</v>
      </c>
      <c r="F380" s="114" t="s">
        <v>377</v>
      </c>
      <c r="G380" s="117">
        <v>42062</v>
      </c>
      <c r="H380" s="118">
        <v>13.77</v>
      </c>
      <c r="I380" s="118">
        <v>25.57</v>
      </c>
      <c r="J380" s="119">
        <v>1.8569</v>
      </c>
      <c r="K380" s="120">
        <v>17.05</v>
      </c>
      <c r="L380" s="119">
        <v>9.6199999999999994E-2</v>
      </c>
      <c r="M380" s="120">
        <v>1</v>
      </c>
      <c r="N380" s="120">
        <v>0.55000000000000004</v>
      </c>
      <c r="O380" s="118">
        <v>-63.74</v>
      </c>
      <c r="P380" s="119">
        <v>4.2700000000000002E-2</v>
      </c>
      <c r="Q380" s="114"/>
      <c r="R380" s="114"/>
    </row>
    <row r="381" spans="1:18" ht="15" customHeight="1" x14ac:dyDescent="0.55000000000000004">
      <c r="A381" s="114" t="s">
        <v>958</v>
      </c>
      <c r="B381" s="115" t="s">
        <v>959</v>
      </c>
      <c r="C381" s="116" t="s">
        <v>829</v>
      </c>
      <c r="D381" s="114" t="s">
        <v>249</v>
      </c>
      <c r="E381" s="114" t="s">
        <v>80</v>
      </c>
      <c r="F381" s="114" t="s">
        <v>377</v>
      </c>
      <c r="G381" s="117">
        <v>42132</v>
      </c>
      <c r="H381" s="118">
        <v>9.99</v>
      </c>
      <c r="I381" s="118">
        <v>15.84</v>
      </c>
      <c r="J381" s="119">
        <v>1.5855999999999999</v>
      </c>
      <c r="K381" s="120">
        <v>9.49</v>
      </c>
      <c r="L381" s="119">
        <v>5.0500000000000003E-2</v>
      </c>
      <c r="M381" s="120">
        <v>1.3</v>
      </c>
      <c r="N381" s="120">
        <v>2.17</v>
      </c>
      <c r="O381" s="118">
        <v>-10.96</v>
      </c>
      <c r="P381" s="119">
        <v>4.8999999999999998E-3</v>
      </c>
      <c r="Q381" s="114"/>
      <c r="R381" s="114"/>
    </row>
    <row r="382" spans="1:18" ht="15" customHeight="1" x14ac:dyDescent="0.55000000000000004">
      <c r="A382" s="114" t="s">
        <v>960</v>
      </c>
      <c r="B382" s="115" t="s">
        <v>961</v>
      </c>
      <c r="C382" s="116" t="s">
        <v>829</v>
      </c>
      <c r="D382" s="114" t="s">
        <v>249</v>
      </c>
      <c r="E382" s="114" t="s">
        <v>98</v>
      </c>
      <c r="F382" s="114" t="s">
        <v>412</v>
      </c>
      <c r="G382" s="117">
        <v>42090</v>
      </c>
      <c r="H382" s="118">
        <v>72.150000000000006</v>
      </c>
      <c r="I382" s="118">
        <v>78.41</v>
      </c>
      <c r="J382" s="119">
        <v>1.0868</v>
      </c>
      <c r="K382" s="120">
        <v>20.91</v>
      </c>
      <c r="L382" s="119">
        <v>2.5499999999999998E-2</v>
      </c>
      <c r="M382" s="120">
        <v>1.4</v>
      </c>
      <c r="N382" s="120">
        <v>0.93</v>
      </c>
      <c r="O382" s="118">
        <v>-30.16</v>
      </c>
      <c r="P382" s="119">
        <v>6.2E-2</v>
      </c>
      <c r="Q382" s="114"/>
      <c r="R382" s="114"/>
    </row>
    <row r="383" spans="1:18" ht="15" customHeight="1" x14ac:dyDescent="0.55000000000000004">
      <c r="A383" s="114" t="s">
        <v>686</v>
      </c>
      <c r="B383" s="115" t="s">
        <v>687</v>
      </c>
      <c r="C383" s="116" t="s">
        <v>634</v>
      </c>
      <c r="D383" s="114" t="s">
        <v>59</v>
      </c>
      <c r="E383" s="114" t="s">
        <v>98</v>
      </c>
      <c r="F383" s="114" t="s">
        <v>150</v>
      </c>
      <c r="G383" s="117">
        <v>42375</v>
      </c>
      <c r="H383" s="118">
        <v>49.89</v>
      </c>
      <c r="I383" s="118">
        <v>37.770000000000003</v>
      </c>
      <c r="J383" s="119">
        <v>0.7571</v>
      </c>
      <c r="K383" s="120">
        <v>16.71</v>
      </c>
      <c r="L383" s="119">
        <v>1.5900000000000001E-2</v>
      </c>
      <c r="M383" s="120">
        <v>1.1000000000000001</v>
      </c>
      <c r="N383" s="120">
        <v>4.26</v>
      </c>
      <c r="O383" s="118">
        <v>-0.45</v>
      </c>
      <c r="P383" s="119">
        <v>4.1099999999999998E-2</v>
      </c>
      <c r="Q383" s="120">
        <v>3</v>
      </c>
      <c r="R383" s="118">
        <v>23.71</v>
      </c>
    </row>
    <row r="384" spans="1:18" ht="15" customHeight="1" x14ac:dyDescent="0.55000000000000004">
      <c r="A384" s="114" t="s">
        <v>1115</v>
      </c>
      <c r="B384" s="115" t="s">
        <v>1116</v>
      </c>
      <c r="C384" s="116" t="s">
        <v>98</v>
      </c>
      <c r="D384" s="114" t="s">
        <v>249</v>
      </c>
      <c r="E384" s="114" t="s">
        <v>80</v>
      </c>
      <c r="F384" s="114" t="s">
        <v>377</v>
      </c>
      <c r="G384" s="117">
        <v>42101</v>
      </c>
      <c r="H384" s="118">
        <v>219.3</v>
      </c>
      <c r="I384" s="118">
        <v>269.55</v>
      </c>
      <c r="J384" s="119">
        <v>1.2291000000000001</v>
      </c>
      <c r="K384" s="120">
        <v>47.29</v>
      </c>
      <c r="L384" s="114" t="s">
        <v>48</v>
      </c>
      <c r="M384" s="120">
        <v>0.6</v>
      </c>
      <c r="N384" s="120">
        <v>1.08</v>
      </c>
      <c r="O384" s="118">
        <v>-14.09</v>
      </c>
      <c r="P384" s="119">
        <v>0.19389999999999999</v>
      </c>
      <c r="Q384" s="114"/>
      <c r="R384" s="114"/>
    </row>
    <row r="385" spans="1:18" ht="15" customHeight="1" x14ac:dyDescent="0.55000000000000004">
      <c r="A385" s="114" t="s">
        <v>791</v>
      </c>
      <c r="B385" s="115" t="s">
        <v>792</v>
      </c>
      <c r="C385" s="116" t="s">
        <v>43</v>
      </c>
      <c r="D385" s="114" t="s">
        <v>249</v>
      </c>
      <c r="E385" s="114" t="s">
        <v>80</v>
      </c>
      <c r="F385" s="114" t="s">
        <v>377</v>
      </c>
      <c r="G385" s="117">
        <v>42166</v>
      </c>
      <c r="H385" s="118">
        <v>0</v>
      </c>
      <c r="I385" s="118">
        <v>71.61</v>
      </c>
      <c r="J385" s="114" t="s">
        <v>48</v>
      </c>
      <c r="K385" s="120">
        <v>22.59</v>
      </c>
      <c r="L385" s="119">
        <v>4.19E-2</v>
      </c>
      <c r="M385" s="120">
        <v>1.5</v>
      </c>
      <c r="N385" s="120">
        <v>1.51</v>
      </c>
      <c r="O385" s="118">
        <v>-11.42</v>
      </c>
      <c r="P385" s="119">
        <v>7.0400000000000004E-2</v>
      </c>
      <c r="Q385" s="114"/>
      <c r="R385" s="114"/>
    </row>
    <row r="386" spans="1:18" ht="15" customHeight="1" x14ac:dyDescent="0.55000000000000004">
      <c r="A386" s="114" t="s">
        <v>433</v>
      </c>
      <c r="B386" s="115" t="s">
        <v>434</v>
      </c>
      <c r="C386" s="116" t="s">
        <v>304</v>
      </c>
      <c r="D386" s="114" t="s">
        <v>59</v>
      </c>
      <c r="E386" s="114" t="s">
        <v>80</v>
      </c>
      <c r="F386" s="114" t="s">
        <v>81</v>
      </c>
      <c r="G386" s="117">
        <v>42326</v>
      </c>
      <c r="H386" s="118">
        <v>28.85</v>
      </c>
      <c r="I386" s="118">
        <v>52.21</v>
      </c>
      <c r="J386" s="119">
        <v>1.8097000000000001</v>
      </c>
      <c r="K386" s="120">
        <v>28.85</v>
      </c>
      <c r="L386" s="119">
        <v>3.2199999999999999E-2</v>
      </c>
      <c r="M386" s="120">
        <v>0.9</v>
      </c>
      <c r="N386" s="120">
        <v>1.1299999999999999</v>
      </c>
      <c r="O386" s="118">
        <v>1.0900000000000001</v>
      </c>
      <c r="P386" s="119">
        <v>0.1017</v>
      </c>
      <c r="Q386" s="120">
        <v>3</v>
      </c>
      <c r="R386" s="118">
        <v>14.92</v>
      </c>
    </row>
    <row r="387" spans="1:18" ht="15" customHeight="1" x14ac:dyDescent="0.55000000000000004">
      <c r="A387" s="114" t="s">
        <v>57</v>
      </c>
      <c r="B387" s="115" t="s">
        <v>58</v>
      </c>
      <c r="C387" s="116" t="s">
        <v>42</v>
      </c>
      <c r="D387" s="114" t="s">
        <v>59</v>
      </c>
      <c r="E387" s="114" t="s">
        <v>44</v>
      </c>
      <c r="F387" s="114" t="s">
        <v>60</v>
      </c>
      <c r="G387" s="117">
        <v>42348</v>
      </c>
      <c r="H387" s="118">
        <v>29.7</v>
      </c>
      <c r="I387" s="118">
        <v>15.29</v>
      </c>
      <c r="J387" s="119">
        <v>0.51480000000000004</v>
      </c>
      <c r="K387" s="120">
        <v>19.600000000000001</v>
      </c>
      <c r="L387" s="119">
        <v>4.3799999999999999E-2</v>
      </c>
      <c r="M387" s="120">
        <v>0.8</v>
      </c>
      <c r="N387" s="114" t="s">
        <v>48</v>
      </c>
      <c r="O387" s="114" t="s">
        <v>48</v>
      </c>
      <c r="P387" s="119">
        <v>5.5500000000000001E-2</v>
      </c>
      <c r="Q387" s="120">
        <v>20</v>
      </c>
      <c r="R387" s="118">
        <v>16.989999999999998</v>
      </c>
    </row>
    <row r="388" spans="1:18" ht="15" customHeight="1" x14ac:dyDescent="0.55000000000000004">
      <c r="A388" s="114" t="s">
        <v>962</v>
      </c>
      <c r="B388" s="115" t="s">
        <v>963</v>
      </c>
      <c r="C388" s="116" t="s">
        <v>829</v>
      </c>
      <c r="D388" s="114" t="s">
        <v>249</v>
      </c>
      <c r="E388" s="114" t="s">
        <v>80</v>
      </c>
      <c r="F388" s="114" t="s">
        <v>377</v>
      </c>
      <c r="G388" s="117">
        <v>42064</v>
      </c>
      <c r="H388" s="118">
        <v>14.53</v>
      </c>
      <c r="I388" s="118">
        <v>18.75</v>
      </c>
      <c r="J388" s="119">
        <v>1.2904</v>
      </c>
      <c r="K388" s="120">
        <v>11.16</v>
      </c>
      <c r="L388" s="119">
        <v>0.04</v>
      </c>
      <c r="M388" s="120">
        <v>1.2</v>
      </c>
      <c r="N388" s="120">
        <v>1.17</v>
      </c>
      <c r="O388" s="118">
        <v>-17.88</v>
      </c>
      <c r="P388" s="119">
        <v>1.3299999999999999E-2</v>
      </c>
      <c r="Q388" s="114"/>
      <c r="R388" s="114"/>
    </row>
    <row r="389" spans="1:18" ht="15" customHeight="1" x14ac:dyDescent="0.55000000000000004">
      <c r="A389" s="114" t="s">
        <v>195</v>
      </c>
      <c r="B389" s="115" t="s">
        <v>196</v>
      </c>
      <c r="C389" s="116" t="s">
        <v>142</v>
      </c>
      <c r="D389" s="114" t="s">
        <v>43</v>
      </c>
      <c r="E389" s="114" t="s">
        <v>44</v>
      </c>
      <c r="F389" s="114" t="s">
        <v>45</v>
      </c>
      <c r="G389" s="117">
        <v>42396</v>
      </c>
      <c r="H389" s="118">
        <v>138.12</v>
      </c>
      <c r="I389" s="118">
        <v>52.27</v>
      </c>
      <c r="J389" s="119">
        <v>0.37840000000000001</v>
      </c>
      <c r="K389" s="120">
        <v>13.9</v>
      </c>
      <c r="L389" s="119">
        <v>1.84E-2</v>
      </c>
      <c r="M389" s="120">
        <v>1.6</v>
      </c>
      <c r="N389" s="120">
        <v>2.82</v>
      </c>
      <c r="O389" s="118">
        <v>2.88</v>
      </c>
      <c r="P389" s="119">
        <v>2.7E-2</v>
      </c>
      <c r="Q389" s="120">
        <v>5</v>
      </c>
      <c r="R389" s="118">
        <v>45.5</v>
      </c>
    </row>
    <row r="390" spans="1:18" ht="15" customHeight="1" x14ac:dyDescent="0.55000000000000004">
      <c r="A390" s="114" t="s">
        <v>793</v>
      </c>
      <c r="B390" s="115" t="s">
        <v>794</v>
      </c>
      <c r="C390" s="116" t="s">
        <v>43</v>
      </c>
      <c r="D390" s="114" t="s">
        <v>249</v>
      </c>
      <c r="E390" s="114" t="s">
        <v>80</v>
      </c>
      <c r="F390" s="114" t="s">
        <v>377</v>
      </c>
      <c r="G390" s="117">
        <v>42102</v>
      </c>
      <c r="H390" s="118">
        <v>3.62</v>
      </c>
      <c r="I390" s="118">
        <v>56.22</v>
      </c>
      <c r="J390" s="119">
        <v>15.5304</v>
      </c>
      <c r="K390" s="120">
        <v>23.82</v>
      </c>
      <c r="L390" s="119">
        <v>3.2399999999999998E-2</v>
      </c>
      <c r="M390" s="120">
        <v>0.2</v>
      </c>
      <c r="N390" s="120">
        <v>1.08</v>
      </c>
      <c r="O390" s="118">
        <v>-79.81</v>
      </c>
      <c r="P390" s="119">
        <v>7.6600000000000001E-2</v>
      </c>
      <c r="Q390" s="114"/>
      <c r="R390" s="114"/>
    </row>
    <row r="391" spans="1:18" ht="15" customHeight="1" x14ac:dyDescent="0.55000000000000004">
      <c r="A391" s="114" t="s">
        <v>964</v>
      </c>
      <c r="B391" s="115" t="s">
        <v>965</v>
      </c>
      <c r="C391" s="116" t="s">
        <v>829</v>
      </c>
      <c r="D391" s="114" t="s">
        <v>249</v>
      </c>
      <c r="E391" s="114" t="s">
        <v>98</v>
      </c>
      <c r="F391" s="114" t="s">
        <v>412</v>
      </c>
      <c r="G391" s="117">
        <v>42145</v>
      </c>
      <c r="H391" s="118">
        <v>1587</v>
      </c>
      <c r="I391" s="118">
        <v>1301.3699999999999</v>
      </c>
      <c r="J391" s="119">
        <v>0.82</v>
      </c>
      <c r="K391" s="120">
        <v>31.57</v>
      </c>
      <c r="L391" s="114" t="s">
        <v>48</v>
      </c>
      <c r="M391" s="120">
        <v>1.7</v>
      </c>
      <c r="N391" s="120">
        <v>3.5</v>
      </c>
      <c r="O391" s="118">
        <v>-42.84</v>
      </c>
      <c r="P391" s="119">
        <v>0.1154</v>
      </c>
      <c r="Q391" s="114"/>
      <c r="R391" s="114"/>
    </row>
    <row r="392" spans="1:18" ht="15" customHeight="1" x14ac:dyDescent="0.55000000000000004">
      <c r="A392" s="114" t="s">
        <v>688</v>
      </c>
      <c r="B392" s="115" t="s">
        <v>689</v>
      </c>
      <c r="C392" s="116" t="s">
        <v>634</v>
      </c>
      <c r="D392" s="114" t="s">
        <v>59</v>
      </c>
      <c r="E392" s="114" t="s">
        <v>80</v>
      </c>
      <c r="F392" s="114" t="s">
        <v>81</v>
      </c>
      <c r="G392" s="117">
        <v>42416</v>
      </c>
      <c r="H392" s="118">
        <v>24.97</v>
      </c>
      <c r="I392" s="118">
        <v>43.78</v>
      </c>
      <c r="J392" s="119">
        <v>1.7533000000000001</v>
      </c>
      <c r="K392" s="120">
        <v>21.25</v>
      </c>
      <c r="L392" s="119">
        <v>2.01E-2</v>
      </c>
      <c r="M392" s="120">
        <v>0.9</v>
      </c>
      <c r="N392" s="120">
        <v>2.09</v>
      </c>
      <c r="O392" s="118">
        <v>-4.26</v>
      </c>
      <c r="P392" s="119">
        <v>6.3799999999999996E-2</v>
      </c>
      <c r="Q392" s="120">
        <v>7</v>
      </c>
      <c r="R392" s="118">
        <v>24.43</v>
      </c>
    </row>
    <row r="393" spans="1:18" ht="15" customHeight="1" x14ac:dyDescent="0.55000000000000004">
      <c r="A393" s="114" t="s">
        <v>966</v>
      </c>
      <c r="B393" s="115" t="s">
        <v>967</v>
      </c>
      <c r="C393" s="116" t="s">
        <v>829</v>
      </c>
      <c r="D393" s="114" t="s">
        <v>249</v>
      </c>
      <c r="E393" s="114" t="s">
        <v>80</v>
      </c>
      <c r="F393" s="114" t="s">
        <v>377</v>
      </c>
      <c r="G393" s="117">
        <v>42200</v>
      </c>
      <c r="H393" s="118">
        <v>18.71</v>
      </c>
      <c r="I393" s="118">
        <v>43.08</v>
      </c>
      <c r="J393" s="119">
        <v>2.3025000000000002</v>
      </c>
      <c r="K393" s="120">
        <v>15.61</v>
      </c>
      <c r="L393" s="119">
        <v>3.8100000000000002E-2</v>
      </c>
      <c r="M393" s="120">
        <v>0.1</v>
      </c>
      <c r="N393" s="120">
        <v>1.1499999999999999</v>
      </c>
      <c r="O393" s="118">
        <v>-37.619999999999997</v>
      </c>
      <c r="P393" s="119">
        <v>3.5499999999999997E-2</v>
      </c>
      <c r="Q393" s="114"/>
      <c r="R393" s="114"/>
    </row>
    <row r="394" spans="1:18" ht="15" customHeight="1" x14ac:dyDescent="0.55000000000000004">
      <c r="A394" s="114" t="s">
        <v>968</v>
      </c>
      <c r="B394" s="115" t="s">
        <v>969</v>
      </c>
      <c r="C394" s="116" t="s">
        <v>829</v>
      </c>
      <c r="D394" s="114" t="s">
        <v>249</v>
      </c>
      <c r="E394" s="114" t="s">
        <v>80</v>
      </c>
      <c r="F394" s="114" t="s">
        <v>377</v>
      </c>
      <c r="G394" s="117">
        <v>42029</v>
      </c>
      <c r="H394" s="118">
        <v>57.85</v>
      </c>
      <c r="I394" s="118">
        <v>98.33</v>
      </c>
      <c r="J394" s="119">
        <v>1.6997</v>
      </c>
      <c r="K394" s="120">
        <v>23.14</v>
      </c>
      <c r="L394" s="119">
        <v>2.86E-2</v>
      </c>
      <c r="M394" s="120">
        <v>0.5</v>
      </c>
      <c r="N394" s="120">
        <v>1.1599999999999999</v>
      </c>
      <c r="O394" s="118">
        <v>-20.2</v>
      </c>
      <c r="P394" s="119">
        <v>7.3200000000000001E-2</v>
      </c>
      <c r="Q394" s="114"/>
      <c r="R394" s="114"/>
    </row>
    <row r="395" spans="1:18" ht="15" customHeight="1" x14ac:dyDescent="0.55000000000000004">
      <c r="A395" s="114" t="s">
        <v>197</v>
      </c>
      <c r="B395" s="115" t="s">
        <v>198</v>
      </c>
      <c r="C395" s="116" t="s">
        <v>142</v>
      </c>
      <c r="D395" s="114" t="s">
        <v>59</v>
      </c>
      <c r="E395" s="114" t="s">
        <v>44</v>
      </c>
      <c r="F395" s="114" t="s">
        <v>60</v>
      </c>
      <c r="G395" s="117">
        <v>42409</v>
      </c>
      <c r="H395" s="118">
        <v>51.99</v>
      </c>
      <c r="I395" s="118">
        <v>29.97</v>
      </c>
      <c r="J395" s="119">
        <v>0.57650000000000001</v>
      </c>
      <c r="K395" s="120">
        <v>15.69</v>
      </c>
      <c r="L395" s="119">
        <v>0.04</v>
      </c>
      <c r="M395" s="120">
        <v>0.9</v>
      </c>
      <c r="N395" s="120">
        <v>1.62</v>
      </c>
      <c r="O395" s="118">
        <v>-9.4600000000000009</v>
      </c>
      <c r="P395" s="119">
        <v>3.5999999999999997E-2</v>
      </c>
      <c r="Q395" s="120">
        <v>5</v>
      </c>
      <c r="R395" s="118">
        <v>20.11</v>
      </c>
    </row>
    <row r="396" spans="1:18" ht="15" customHeight="1" x14ac:dyDescent="0.55000000000000004">
      <c r="A396" s="114" t="s">
        <v>118</v>
      </c>
      <c r="B396" s="115" t="s">
        <v>119</v>
      </c>
      <c r="C396" s="116" t="s">
        <v>79</v>
      </c>
      <c r="D396" s="114" t="s">
        <v>59</v>
      </c>
      <c r="E396" s="114" t="s">
        <v>44</v>
      </c>
      <c r="F396" s="114" t="s">
        <v>60</v>
      </c>
      <c r="G396" s="117">
        <v>42319</v>
      </c>
      <c r="H396" s="118">
        <v>104.46</v>
      </c>
      <c r="I396" s="118">
        <v>39.47</v>
      </c>
      <c r="J396" s="119">
        <v>0.37780000000000002</v>
      </c>
      <c r="K396" s="120">
        <v>11.47</v>
      </c>
      <c r="L396" s="119">
        <v>3.85E-2</v>
      </c>
      <c r="M396" s="120">
        <v>1.7</v>
      </c>
      <c r="N396" s="114" t="s">
        <v>48</v>
      </c>
      <c r="O396" s="114" t="s">
        <v>48</v>
      </c>
      <c r="P396" s="119">
        <v>1.49E-2</v>
      </c>
      <c r="Q396" s="120">
        <v>7</v>
      </c>
      <c r="R396" s="118">
        <v>55.54</v>
      </c>
    </row>
    <row r="397" spans="1:18" ht="15" customHeight="1" x14ac:dyDescent="0.55000000000000004">
      <c r="A397" s="114" t="s">
        <v>970</v>
      </c>
      <c r="B397" s="115" t="s">
        <v>971</v>
      </c>
      <c r="C397" s="116" t="s">
        <v>829</v>
      </c>
      <c r="D397" s="114" t="s">
        <v>249</v>
      </c>
      <c r="E397" s="114" t="s">
        <v>80</v>
      </c>
      <c r="F397" s="114" t="s">
        <v>377</v>
      </c>
      <c r="G397" s="117">
        <v>42051</v>
      </c>
      <c r="H397" s="118">
        <v>31.58</v>
      </c>
      <c r="I397" s="118">
        <v>82.54</v>
      </c>
      <c r="J397" s="119">
        <v>2.6137000000000001</v>
      </c>
      <c r="K397" s="120">
        <v>21.22</v>
      </c>
      <c r="L397" s="119">
        <v>3.2099999999999997E-2</v>
      </c>
      <c r="M397" s="120">
        <v>0.5</v>
      </c>
      <c r="N397" s="120">
        <v>0.97</v>
      </c>
      <c r="O397" s="118">
        <v>-13.5</v>
      </c>
      <c r="P397" s="119">
        <v>6.3600000000000004E-2</v>
      </c>
      <c r="Q397" s="114"/>
      <c r="R397" s="114"/>
    </row>
    <row r="398" spans="1:18" ht="15" customHeight="1" x14ac:dyDescent="0.55000000000000004">
      <c r="A398" s="114" t="s">
        <v>690</v>
      </c>
      <c r="B398" s="115" t="s">
        <v>691</v>
      </c>
      <c r="C398" s="116" t="s">
        <v>634</v>
      </c>
      <c r="D398" s="114" t="s">
        <v>59</v>
      </c>
      <c r="E398" s="114" t="s">
        <v>98</v>
      </c>
      <c r="F398" s="114" t="s">
        <v>150</v>
      </c>
      <c r="G398" s="117">
        <v>42327</v>
      </c>
      <c r="H398" s="118">
        <v>40.450000000000003</v>
      </c>
      <c r="I398" s="118">
        <v>32.93</v>
      </c>
      <c r="J398" s="119">
        <v>0.81410000000000005</v>
      </c>
      <c r="K398" s="120">
        <v>16.97</v>
      </c>
      <c r="L398" s="119">
        <v>2.7E-2</v>
      </c>
      <c r="M398" s="120">
        <v>0.8</v>
      </c>
      <c r="N398" s="114" t="s">
        <v>48</v>
      </c>
      <c r="O398" s="114" t="s">
        <v>48</v>
      </c>
      <c r="P398" s="119">
        <v>4.24E-2</v>
      </c>
      <c r="Q398" s="120">
        <v>2</v>
      </c>
      <c r="R398" s="118">
        <v>24.06</v>
      </c>
    </row>
    <row r="399" spans="1:18" ht="15" customHeight="1" x14ac:dyDescent="0.55000000000000004">
      <c r="A399" s="114" t="s">
        <v>334</v>
      </c>
      <c r="B399" s="115" t="s">
        <v>335</v>
      </c>
      <c r="C399" s="116" t="s">
        <v>297</v>
      </c>
      <c r="D399" s="114" t="s">
        <v>43</v>
      </c>
      <c r="E399" s="114" t="s">
        <v>80</v>
      </c>
      <c r="F399" s="114" t="s">
        <v>145</v>
      </c>
      <c r="G399" s="117">
        <v>42400</v>
      </c>
      <c r="H399" s="118">
        <v>55.49</v>
      </c>
      <c r="I399" s="118">
        <v>105.76</v>
      </c>
      <c r="J399" s="119">
        <v>1.9058999999999999</v>
      </c>
      <c r="K399" s="120">
        <v>18.11</v>
      </c>
      <c r="L399" s="119">
        <v>2.3800000000000002E-2</v>
      </c>
      <c r="M399" s="120">
        <v>1.5</v>
      </c>
      <c r="N399" s="120">
        <v>2.1800000000000002</v>
      </c>
      <c r="O399" s="118">
        <v>-13.26</v>
      </c>
      <c r="P399" s="119">
        <v>4.8000000000000001E-2</v>
      </c>
      <c r="Q399" s="120">
        <v>20</v>
      </c>
      <c r="R399" s="118">
        <v>55.07</v>
      </c>
    </row>
    <row r="400" spans="1:18" ht="15" customHeight="1" x14ac:dyDescent="0.55000000000000004">
      <c r="A400" s="114" t="s">
        <v>120</v>
      </c>
      <c r="B400" s="115" t="s">
        <v>121</v>
      </c>
      <c r="C400" s="116" t="s">
        <v>79</v>
      </c>
      <c r="D400" s="114" t="s">
        <v>59</v>
      </c>
      <c r="E400" s="114" t="s">
        <v>44</v>
      </c>
      <c r="F400" s="114" t="s">
        <v>60</v>
      </c>
      <c r="G400" s="117">
        <v>42375</v>
      </c>
      <c r="H400" s="118">
        <v>80.930000000000007</v>
      </c>
      <c r="I400" s="118">
        <v>17.87</v>
      </c>
      <c r="J400" s="119">
        <v>0.2208</v>
      </c>
      <c r="K400" s="120">
        <v>8.51</v>
      </c>
      <c r="L400" s="119">
        <v>2.01E-2</v>
      </c>
      <c r="M400" s="120">
        <v>1.9</v>
      </c>
      <c r="N400" s="120">
        <v>2.94</v>
      </c>
      <c r="O400" s="118">
        <v>5.01</v>
      </c>
      <c r="P400" s="119">
        <v>0</v>
      </c>
      <c r="Q400" s="120">
        <v>3</v>
      </c>
      <c r="R400" s="118">
        <v>18.48</v>
      </c>
    </row>
    <row r="401" spans="1:18" ht="15" customHeight="1" x14ac:dyDescent="0.55000000000000004">
      <c r="A401" s="114" t="s">
        <v>586</v>
      </c>
      <c r="B401" s="115" t="s">
        <v>587</v>
      </c>
      <c r="C401" s="116" t="s">
        <v>479</v>
      </c>
      <c r="D401" s="114" t="s">
        <v>59</v>
      </c>
      <c r="E401" s="114" t="s">
        <v>80</v>
      </c>
      <c r="F401" s="114" t="s">
        <v>81</v>
      </c>
      <c r="G401" s="117">
        <v>42397</v>
      </c>
      <c r="H401" s="118">
        <v>19.100000000000001</v>
      </c>
      <c r="I401" s="118">
        <v>49.16</v>
      </c>
      <c r="J401" s="119">
        <v>2.5737999999999999</v>
      </c>
      <c r="K401" s="120">
        <v>33.67</v>
      </c>
      <c r="L401" s="119">
        <v>5.7000000000000002E-3</v>
      </c>
      <c r="M401" s="120">
        <v>1.1000000000000001</v>
      </c>
      <c r="N401" s="120">
        <v>1.94</v>
      </c>
      <c r="O401" s="118">
        <v>-7.97</v>
      </c>
      <c r="P401" s="119">
        <v>0.12590000000000001</v>
      </c>
      <c r="Q401" s="120">
        <v>0</v>
      </c>
      <c r="R401" s="118">
        <v>29.66</v>
      </c>
    </row>
    <row r="402" spans="1:18" ht="15" customHeight="1" x14ac:dyDescent="0.55000000000000004">
      <c r="A402" s="114" t="s">
        <v>795</v>
      </c>
      <c r="B402" s="115" t="s">
        <v>796</v>
      </c>
      <c r="C402" s="116" t="s">
        <v>43</v>
      </c>
      <c r="D402" s="114" t="s">
        <v>249</v>
      </c>
      <c r="E402" s="114" t="s">
        <v>80</v>
      </c>
      <c r="F402" s="114" t="s">
        <v>377</v>
      </c>
      <c r="G402" s="117">
        <v>42298</v>
      </c>
      <c r="H402" s="118">
        <v>28.64</v>
      </c>
      <c r="I402" s="118">
        <v>40.47</v>
      </c>
      <c r="J402" s="119">
        <v>1.4131</v>
      </c>
      <c r="K402" s="120">
        <v>54.69</v>
      </c>
      <c r="L402" s="119">
        <v>4.1500000000000002E-2</v>
      </c>
      <c r="M402" s="120">
        <v>1.4</v>
      </c>
      <c r="N402" s="120">
        <v>0.65</v>
      </c>
      <c r="O402" s="118">
        <v>-31.17</v>
      </c>
      <c r="P402" s="119">
        <v>0.23089999999999999</v>
      </c>
      <c r="Q402" s="120">
        <v>2</v>
      </c>
      <c r="R402" s="118">
        <v>25.44</v>
      </c>
    </row>
    <row r="403" spans="1:18" ht="15" customHeight="1" x14ac:dyDescent="0.55000000000000004">
      <c r="A403" s="114" t="s">
        <v>972</v>
      </c>
      <c r="B403" s="115" t="s">
        <v>973</v>
      </c>
      <c r="C403" s="116" t="s">
        <v>829</v>
      </c>
      <c r="D403" s="114" t="s">
        <v>249</v>
      </c>
      <c r="E403" s="114" t="s">
        <v>80</v>
      </c>
      <c r="F403" s="114" t="s">
        <v>377</v>
      </c>
      <c r="G403" s="117">
        <v>42131</v>
      </c>
      <c r="H403" s="118">
        <v>51.11</v>
      </c>
      <c r="I403" s="118">
        <v>91.55</v>
      </c>
      <c r="J403" s="119">
        <v>1.7911999999999999</v>
      </c>
      <c r="K403" s="120">
        <v>21</v>
      </c>
      <c r="L403" s="119">
        <v>4.4600000000000001E-2</v>
      </c>
      <c r="M403" s="120">
        <v>0.9</v>
      </c>
      <c r="N403" s="120">
        <v>0.95</v>
      </c>
      <c r="O403" s="118">
        <v>-21.06</v>
      </c>
      <c r="P403" s="119">
        <v>6.25E-2</v>
      </c>
      <c r="Q403" s="114"/>
      <c r="R403" s="114"/>
    </row>
    <row r="404" spans="1:18" ht="15" customHeight="1" x14ac:dyDescent="0.55000000000000004">
      <c r="A404" s="114" t="s">
        <v>435</v>
      </c>
      <c r="B404" s="115" t="s">
        <v>436</v>
      </c>
      <c r="C404" s="116" t="s">
        <v>304</v>
      </c>
      <c r="D404" s="114" t="s">
        <v>59</v>
      </c>
      <c r="E404" s="114" t="s">
        <v>80</v>
      </c>
      <c r="F404" s="114" t="s">
        <v>81</v>
      </c>
      <c r="G404" s="117">
        <v>42416</v>
      </c>
      <c r="H404" s="118">
        <v>0.72</v>
      </c>
      <c r="I404" s="118">
        <v>12.89</v>
      </c>
      <c r="J404" s="119">
        <v>17.902799999999999</v>
      </c>
      <c r="K404" s="120">
        <v>30.69</v>
      </c>
      <c r="L404" s="119">
        <v>4.65E-2</v>
      </c>
      <c r="M404" s="120">
        <v>1.1000000000000001</v>
      </c>
      <c r="N404" s="120">
        <v>2.37</v>
      </c>
      <c r="O404" s="118">
        <v>-0.41</v>
      </c>
      <c r="P404" s="119">
        <v>0.111</v>
      </c>
      <c r="Q404" s="120">
        <v>0</v>
      </c>
      <c r="R404" s="118">
        <v>3.68</v>
      </c>
    </row>
    <row r="405" spans="1:18" ht="15" customHeight="1" x14ac:dyDescent="0.55000000000000004">
      <c r="A405" s="114" t="s">
        <v>61</v>
      </c>
      <c r="B405" s="115" t="s">
        <v>62</v>
      </c>
      <c r="C405" s="116" t="s">
        <v>42</v>
      </c>
      <c r="D405" s="114" t="s">
        <v>43</v>
      </c>
      <c r="E405" s="114" t="s">
        <v>44</v>
      </c>
      <c r="F405" s="114" t="s">
        <v>45</v>
      </c>
      <c r="G405" s="117">
        <v>42321</v>
      </c>
      <c r="H405" s="118">
        <v>144.4</v>
      </c>
      <c r="I405" s="118">
        <v>85.65</v>
      </c>
      <c r="J405" s="119">
        <v>0.59309999999999996</v>
      </c>
      <c r="K405" s="120">
        <v>12.38</v>
      </c>
      <c r="L405" s="119">
        <v>2.3800000000000002E-2</v>
      </c>
      <c r="M405" s="120">
        <v>1</v>
      </c>
      <c r="N405" s="114" t="s">
        <v>48</v>
      </c>
      <c r="O405" s="114" t="s">
        <v>48</v>
      </c>
      <c r="P405" s="119">
        <v>1.9400000000000001E-2</v>
      </c>
      <c r="Q405" s="120">
        <v>5</v>
      </c>
      <c r="R405" s="118">
        <v>119.49</v>
      </c>
    </row>
    <row r="406" spans="1:18" ht="15" customHeight="1" x14ac:dyDescent="0.55000000000000004">
      <c r="A406" s="114" t="s">
        <v>797</v>
      </c>
      <c r="B406" s="115" t="s">
        <v>798</v>
      </c>
      <c r="C406" s="116" t="s">
        <v>43</v>
      </c>
      <c r="D406" s="114" t="s">
        <v>249</v>
      </c>
      <c r="E406" s="114" t="s">
        <v>80</v>
      </c>
      <c r="F406" s="114" t="s">
        <v>377</v>
      </c>
      <c r="G406" s="117">
        <v>42333</v>
      </c>
      <c r="H406" s="118">
        <v>36.68</v>
      </c>
      <c r="I406" s="118">
        <v>50.61</v>
      </c>
      <c r="J406" s="119">
        <v>1.3797999999999999</v>
      </c>
      <c r="K406" s="120">
        <v>30.31</v>
      </c>
      <c r="L406" s="119">
        <v>2.6100000000000002E-2</v>
      </c>
      <c r="M406" s="120">
        <v>1.3</v>
      </c>
      <c r="N406" s="120">
        <v>1.98</v>
      </c>
      <c r="O406" s="118">
        <v>-28.32</v>
      </c>
      <c r="P406" s="119">
        <v>0.109</v>
      </c>
      <c r="Q406" s="120">
        <v>10</v>
      </c>
      <c r="R406" s="118">
        <v>42.96</v>
      </c>
    </row>
    <row r="407" spans="1:18" ht="15" customHeight="1" x14ac:dyDescent="0.55000000000000004">
      <c r="A407" s="114" t="s">
        <v>588</v>
      </c>
      <c r="B407" s="115" t="s">
        <v>589</v>
      </c>
      <c r="C407" s="116" t="s">
        <v>479</v>
      </c>
      <c r="D407" s="114" t="s">
        <v>249</v>
      </c>
      <c r="E407" s="114" t="s">
        <v>98</v>
      </c>
      <c r="F407" s="114" t="s">
        <v>412</v>
      </c>
      <c r="G407" s="117">
        <v>42348</v>
      </c>
      <c r="H407" s="118">
        <v>73.430000000000007</v>
      </c>
      <c r="I407" s="118">
        <v>68.489999999999995</v>
      </c>
      <c r="J407" s="119">
        <v>0.93269999999999997</v>
      </c>
      <c r="K407" s="120">
        <v>19.13</v>
      </c>
      <c r="L407" s="119">
        <v>3.6499999999999998E-2</v>
      </c>
      <c r="M407" s="120">
        <v>0.3</v>
      </c>
      <c r="N407" s="120">
        <v>0.7</v>
      </c>
      <c r="O407" s="118">
        <v>-82.06</v>
      </c>
      <c r="P407" s="119">
        <v>5.3199999999999997E-2</v>
      </c>
      <c r="Q407" s="120">
        <v>4</v>
      </c>
      <c r="R407" s="118">
        <v>59.04</v>
      </c>
    </row>
    <row r="408" spans="1:18" ht="15" customHeight="1" x14ac:dyDescent="0.55000000000000004">
      <c r="A408" s="114" t="s">
        <v>799</v>
      </c>
      <c r="B408" s="115" t="s">
        <v>800</v>
      </c>
      <c r="C408" s="116" t="s">
        <v>43</v>
      </c>
      <c r="D408" s="114" t="s">
        <v>249</v>
      </c>
      <c r="E408" s="114" t="s">
        <v>80</v>
      </c>
      <c r="F408" s="114" t="s">
        <v>377</v>
      </c>
      <c r="G408" s="117">
        <v>42348</v>
      </c>
      <c r="H408" s="118">
        <v>0</v>
      </c>
      <c r="I408" s="118">
        <v>23.66</v>
      </c>
      <c r="J408" s="114" t="s">
        <v>48</v>
      </c>
      <c r="K408" s="120">
        <v>36.4</v>
      </c>
      <c r="L408" s="119">
        <v>4.5600000000000002E-2</v>
      </c>
      <c r="M408" s="120">
        <v>0.4</v>
      </c>
      <c r="N408" s="120">
        <v>0.66</v>
      </c>
      <c r="O408" s="118">
        <v>-41.98</v>
      </c>
      <c r="P408" s="119">
        <v>0.13950000000000001</v>
      </c>
      <c r="Q408" s="120">
        <v>0</v>
      </c>
      <c r="R408" s="118">
        <v>19.440000000000001</v>
      </c>
    </row>
    <row r="409" spans="1:18" ht="15" customHeight="1" x14ac:dyDescent="0.55000000000000004">
      <c r="A409" s="114" t="s">
        <v>590</v>
      </c>
      <c r="B409" s="115" t="s">
        <v>591</v>
      </c>
      <c r="C409" s="116" t="s">
        <v>479</v>
      </c>
      <c r="D409" s="114" t="s">
        <v>249</v>
      </c>
      <c r="E409" s="114" t="s">
        <v>44</v>
      </c>
      <c r="F409" s="114" t="s">
        <v>250</v>
      </c>
      <c r="G409" s="117">
        <v>42074</v>
      </c>
      <c r="H409" s="118">
        <v>515.34</v>
      </c>
      <c r="I409" s="118">
        <v>99.33</v>
      </c>
      <c r="J409" s="119">
        <v>0.19270000000000001</v>
      </c>
      <c r="K409" s="120">
        <v>7.42</v>
      </c>
      <c r="L409" s="119">
        <v>1.4500000000000001E-2</v>
      </c>
      <c r="M409" s="120">
        <v>1.4</v>
      </c>
      <c r="N409" s="120">
        <v>1.4</v>
      </c>
      <c r="O409" s="118">
        <v>-39.979999999999997</v>
      </c>
      <c r="P409" s="119">
        <v>-5.4000000000000003E-3</v>
      </c>
      <c r="Q409" s="114"/>
      <c r="R409" s="114"/>
    </row>
    <row r="410" spans="1:18" ht="15" customHeight="1" x14ac:dyDescent="0.55000000000000004">
      <c r="A410" s="114" t="s">
        <v>974</v>
      </c>
      <c r="B410" s="115" t="s">
        <v>975</v>
      </c>
      <c r="C410" s="116" t="s">
        <v>829</v>
      </c>
      <c r="D410" s="114" t="s">
        <v>249</v>
      </c>
      <c r="E410" s="114" t="s">
        <v>80</v>
      </c>
      <c r="F410" s="114" t="s">
        <v>377</v>
      </c>
      <c r="G410" s="117">
        <v>42399</v>
      </c>
      <c r="H410" s="118">
        <v>5.49</v>
      </c>
      <c r="I410" s="118">
        <v>34.92</v>
      </c>
      <c r="J410" s="119">
        <v>6.3606999999999996</v>
      </c>
      <c r="K410" s="120">
        <v>19.079999999999998</v>
      </c>
      <c r="L410" s="119">
        <v>4.3499999999999997E-2</v>
      </c>
      <c r="M410" s="120">
        <v>0.3</v>
      </c>
      <c r="N410" s="120">
        <v>0.67</v>
      </c>
      <c r="O410" s="118">
        <v>-38.64</v>
      </c>
      <c r="P410" s="119">
        <v>5.2900000000000003E-2</v>
      </c>
      <c r="Q410" s="120">
        <v>4</v>
      </c>
      <c r="R410" s="118">
        <v>16.34</v>
      </c>
    </row>
    <row r="411" spans="1:18" ht="15" customHeight="1" x14ac:dyDescent="0.55000000000000004">
      <c r="A411" s="114" t="s">
        <v>437</v>
      </c>
      <c r="B411" s="115" t="s">
        <v>438</v>
      </c>
      <c r="C411" s="116" t="s">
        <v>304</v>
      </c>
      <c r="D411" s="114" t="s">
        <v>59</v>
      </c>
      <c r="E411" s="114" t="s">
        <v>80</v>
      </c>
      <c r="F411" s="114" t="s">
        <v>81</v>
      </c>
      <c r="G411" s="117">
        <v>42395</v>
      </c>
      <c r="H411" s="118">
        <v>67.66</v>
      </c>
      <c r="I411" s="118">
        <v>125.81</v>
      </c>
      <c r="J411" s="119">
        <v>1.8593999999999999</v>
      </c>
      <c r="K411" s="120">
        <v>31.14</v>
      </c>
      <c r="L411" s="119">
        <v>4.5999999999999999E-3</v>
      </c>
      <c r="M411" s="121" t="e">
        <v>#N/A</v>
      </c>
      <c r="N411" s="120">
        <v>1.73</v>
      </c>
      <c r="O411" s="118">
        <v>-41.46</v>
      </c>
      <c r="P411" s="119">
        <v>0.1132</v>
      </c>
      <c r="Q411" s="120">
        <v>14</v>
      </c>
      <c r="R411" s="118">
        <v>112.08</v>
      </c>
    </row>
    <row r="412" spans="1:18" ht="15" customHeight="1" x14ac:dyDescent="0.55000000000000004">
      <c r="A412" s="114" t="s">
        <v>439</v>
      </c>
      <c r="B412" s="115" t="s">
        <v>440</v>
      </c>
      <c r="C412" s="116" t="s">
        <v>304</v>
      </c>
      <c r="D412" s="114" t="s">
        <v>249</v>
      </c>
      <c r="E412" s="114" t="s">
        <v>80</v>
      </c>
      <c r="F412" s="114" t="s">
        <v>377</v>
      </c>
      <c r="G412" s="117">
        <v>42411</v>
      </c>
      <c r="H412" s="118">
        <v>43.76</v>
      </c>
      <c r="I412" s="118">
        <v>70.760000000000005</v>
      </c>
      <c r="J412" s="119">
        <v>1.617</v>
      </c>
      <c r="K412" s="120">
        <v>13.15</v>
      </c>
      <c r="L412" s="119">
        <v>3.9600000000000003E-2</v>
      </c>
      <c r="M412" s="120">
        <v>1.7</v>
      </c>
      <c r="N412" s="114" t="s">
        <v>48</v>
      </c>
      <c r="O412" s="114" t="s">
        <v>48</v>
      </c>
      <c r="P412" s="119">
        <v>2.3300000000000001E-2</v>
      </c>
      <c r="Q412" s="120">
        <v>7</v>
      </c>
      <c r="R412" s="118">
        <v>164.8</v>
      </c>
    </row>
    <row r="413" spans="1:18" ht="15" customHeight="1" x14ac:dyDescent="0.55000000000000004">
      <c r="A413" s="114" t="s">
        <v>801</v>
      </c>
      <c r="B413" s="115" t="s">
        <v>802</v>
      </c>
      <c r="C413" s="116" t="s">
        <v>43</v>
      </c>
      <c r="D413" s="114" t="s">
        <v>249</v>
      </c>
      <c r="E413" s="114" t="s">
        <v>80</v>
      </c>
      <c r="F413" s="114" t="s">
        <v>377</v>
      </c>
      <c r="G413" s="117">
        <v>42089</v>
      </c>
      <c r="H413" s="118">
        <v>120.94</v>
      </c>
      <c r="I413" s="118">
        <v>256.17</v>
      </c>
      <c r="J413" s="119">
        <v>2.1181999999999999</v>
      </c>
      <c r="K413" s="120">
        <v>57.83</v>
      </c>
      <c r="L413" s="119">
        <v>2.6499999999999999E-2</v>
      </c>
      <c r="M413" s="120">
        <v>0.6</v>
      </c>
      <c r="N413" s="120">
        <v>0.76</v>
      </c>
      <c r="O413" s="118">
        <v>-0.87</v>
      </c>
      <c r="P413" s="119">
        <v>0.24660000000000001</v>
      </c>
      <c r="Q413" s="114"/>
      <c r="R413" s="114"/>
    </row>
    <row r="414" spans="1:18" ht="15" customHeight="1" x14ac:dyDescent="0.55000000000000004">
      <c r="A414" s="114" t="s">
        <v>441</v>
      </c>
      <c r="B414" s="115" t="s">
        <v>442</v>
      </c>
      <c r="C414" s="116" t="s">
        <v>304</v>
      </c>
      <c r="D414" s="114" t="s">
        <v>249</v>
      </c>
      <c r="E414" s="114" t="s">
        <v>44</v>
      </c>
      <c r="F414" s="114" t="s">
        <v>250</v>
      </c>
      <c r="G414" s="117">
        <v>41992</v>
      </c>
      <c r="H414" s="118">
        <v>230.79</v>
      </c>
      <c r="I414" s="118">
        <v>84.56</v>
      </c>
      <c r="J414" s="119">
        <v>0.3664</v>
      </c>
      <c r="K414" s="120">
        <v>14.12</v>
      </c>
      <c r="L414" s="119">
        <v>2.6499999999999999E-2</v>
      </c>
      <c r="M414" s="120">
        <v>1.5</v>
      </c>
      <c r="N414" s="120">
        <v>1.32</v>
      </c>
      <c r="O414" s="118">
        <v>-17.190000000000001</v>
      </c>
      <c r="P414" s="119">
        <v>2.81E-2</v>
      </c>
      <c r="Q414" s="114"/>
      <c r="R414" s="114"/>
    </row>
    <row r="415" spans="1:18" ht="15" customHeight="1" x14ac:dyDescent="0.55000000000000004">
      <c r="A415" s="114" t="s">
        <v>592</v>
      </c>
      <c r="B415" s="115" t="s">
        <v>593</v>
      </c>
      <c r="C415" s="116" t="s">
        <v>479</v>
      </c>
      <c r="D415" s="114" t="s">
        <v>249</v>
      </c>
      <c r="E415" s="114" t="s">
        <v>44</v>
      </c>
      <c r="F415" s="114" t="s">
        <v>250</v>
      </c>
      <c r="G415" s="117">
        <v>42096</v>
      </c>
      <c r="H415" s="118">
        <v>143.94999999999999</v>
      </c>
      <c r="I415" s="118">
        <v>84.35</v>
      </c>
      <c r="J415" s="119">
        <v>0.58599999999999997</v>
      </c>
      <c r="K415" s="120">
        <v>21.35</v>
      </c>
      <c r="L415" s="119">
        <v>1.8E-3</v>
      </c>
      <c r="M415" s="120">
        <v>1</v>
      </c>
      <c r="N415" s="120">
        <v>0.93</v>
      </c>
      <c r="O415" s="118">
        <v>-43.97</v>
      </c>
      <c r="P415" s="119">
        <v>6.4299999999999996E-2</v>
      </c>
      <c r="Q415" s="114"/>
      <c r="R415" s="114"/>
    </row>
    <row r="416" spans="1:18" ht="15" customHeight="1" x14ac:dyDescent="0.55000000000000004">
      <c r="A416" s="114" t="s">
        <v>336</v>
      </c>
      <c r="B416" s="115" t="s">
        <v>337</v>
      </c>
      <c r="C416" s="116" t="s">
        <v>297</v>
      </c>
      <c r="D416" s="114" t="s">
        <v>59</v>
      </c>
      <c r="E416" s="114" t="s">
        <v>44</v>
      </c>
      <c r="F416" s="114" t="s">
        <v>60</v>
      </c>
      <c r="G416" s="117">
        <v>42410</v>
      </c>
      <c r="H416" s="118">
        <v>61.37</v>
      </c>
      <c r="I416" s="118">
        <v>21.2</v>
      </c>
      <c r="J416" s="119">
        <v>0.34539999999999998</v>
      </c>
      <c r="K416" s="120">
        <v>13.33</v>
      </c>
      <c r="L416" s="114" t="s">
        <v>48</v>
      </c>
      <c r="M416" s="120">
        <v>0.5</v>
      </c>
      <c r="N416" s="120">
        <v>1.76</v>
      </c>
      <c r="O416" s="118">
        <v>0.87</v>
      </c>
      <c r="P416" s="119">
        <v>2.4199999999999999E-2</v>
      </c>
      <c r="Q416" s="120">
        <v>0</v>
      </c>
      <c r="R416" s="118">
        <v>29.36</v>
      </c>
    </row>
    <row r="417" spans="1:18" ht="15" customHeight="1" x14ac:dyDescent="0.55000000000000004">
      <c r="A417" s="114" t="s">
        <v>976</v>
      </c>
      <c r="B417" s="115" t="s">
        <v>977</v>
      </c>
      <c r="C417" s="116" t="s">
        <v>829</v>
      </c>
      <c r="D417" s="114" t="s">
        <v>249</v>
      </c>
      <c r="E417" s="114" t="s">
        <v>98</v>
      </c>
      <c r="F417" s="114" t="s">
        <v>412</v>
      </c>
      <c r="G417" s="117">
        <v>42009</v>
      </c>
      <c r="H417" s="118">
        <v>138.18</v>
      </c>
      <c r="I417" s="118">
        <v>104.14</v>
      </c>
      <c r="J417" s="119">
        <v>0.75370000000000004</v>
      </c>
      <c r="K417" s="120">
        <v>18.11</v>
      </c>
      <c r="L417" s="119">
        <v>2.8799999999999999E-2</v>
      </c>
      <c r="M417" s="120">
        <v>0.8</v>
      </c>
      <c r="N417" s="120">
        <v>1.03</v>
      </c>
      <c r="O417" s="118">
        <v>-36.5</v>
      </c>
      <c r="P417" s="119">
        <v>4.8099999999999997E-2</v>
      </c>
      <c r="Q417" s="114"/>
      <c r="R417" s="114"/>
    </row>
    <row r="418" spans="1:18" ht="15" customHeight="1" x14ac:dyDescent="0.55000000000000004">
      <c r="A418" s="114" t="s">
        <v>1117</v>
      </c>
      <c r="B418" s="115" t="s">
        <v>1118</v>
      </c>
      <c r="C418" s="116" t="s">
        <v>98</v>
      </c>
      <c r="D418" s="114" t="s">
        <v>249</v>
      </c>
      <c r="E418" s="114" t="s">
        <v>80</v>
      </c>
      <c r="F418" s="114" t="s">
        <v>377</v>
      </c>
      <c r="G418" s="117">
        <v>42009</v>
      </c>
      <c r="H418" s="118">
        <v>0</v>
      </c>
      <c r="I418" s="118">
        <v>131.15</v>
      </c>
      <c r="J418" s="114" t="s">
        <v>48</v>
      </c>
      <c r="K418" s="120">
        <v>92.36</v>
      </c>
      <c r="L418" s="119">
        <v>5.9999999999999995E-4</v>
      </c>
      <c r="M418" s="120">
        <v>1.4</v>
      </c>
      <c r="N418" s="120">
        <v>1.04</v>
      </c>
      <c r="O418" s="118">
        <v>-32.42</v>
      </c>
      <c r="P418" s="119">
        <v>0.41930000000000001</v>
      </c>
      <c r="Q418" s="114"/>
      <c r="R418" s="114"/>
    </row>
    <row r="419" spans="1:18" ht="15" customHeight="1" x14ac:dyDescent="0.55000000000000004">
      <c r="A419" s="114" t="s">
        <v>338</v>
      </c>
      <c r="B419" s="115" t="s">
        <v>339</v>
      </c>
      <c r="C419" s="116" t="s">
        <v>297</v>
      </c>
      <c r="D419" s="114" t="s">
        <v>43</v>
      </c>
      <c r="E419" s="114" t="s">
        <v>44</v>
      </c>
      <c r="F419" s="114" t="s">
        <v>45</v>
      </c>
      <c r="G419" s="117">
        <v>42410</v>
      </c>
      <c r="H419" s="118">
        <v>92.28</v>
      </c>
      <c r="I419" s="118">
        <v>52.85</v>
      </c>
      <c r="J419" s="119">
        <v>0.57269999999999999</v>
      </c>
      <c r="K419" s="120">
        <v>13.91</v>
      </c>
      <c r="L419" s="119">
        <v>3.6299999999999999E-2</v>
      </c>
      <c r="M419" s="120">
        <v>1.2</v>
      </c>
      <c r="N419" s="120">
        <v>3.13</v>
      </c>
      <c r="O419" s="118">
        <v>0.23</v>
      </c>
      <c r="P419" s="119">
        <v>2.7E-2</v>
      </c>
      <c r="Q419" s="120">
        <v>14</v>
      </c>
      <c r="R419" s="118">
        <v>41.37</v>
      </c>
    </row>
    <row r="420" spans="1:18" ht="15" customHeight="1" x14ac:dyDescent="0.55000000000000004">
      <c r="A420" s="114" t="s">
        <v>803</v>
      </c>
      <c r="B420" s="115" t="s">
        <v>804</v>
      </c>
      <c r="C420" s="116" t="s">
        <v>43</v>
      </c>
      <c r="D420" s="114" t="s">
        <v>249</v>
      </c>
      <c r="E420" s="114" t="s">
        <v>80</v>
      </c>
      <c r="F420" s="114" t="s">
        <v>377</v>
      </c>
      <c r="G420" s="117">
        <v>42050</v>
      </c>
      <c r="H420" s="118">
        <v>0</v>
      </c>
      <c r="I420" s="118">
        <v>10.199999999999999</v>
      </c>
      <c r="J420" s="114" t="s">
        <v>48</v>
      </c>
      <c r="K420" s="120">
        <v>8.9499999999999993</v>
      </c>
      <c r="L420" s="114" t="s">
        <v>48</v>
      </c>
      <c r="M420" s="120">
        <v>1.8</v>
      </c>
      <c r="N420" s="120">
        <v>0.83</v>
      </c>
      <c r="O420" s="118">
        <v>-32.85</v>
      </c>
      <c r="P420" s="119">
        <v>2.2000000000000001E-3</v>
      </c>
      <c r="Q420" s="114"/>
      <c r="R420" s="114"/>
    </row>
    <row r="421" spans="1:18" ht="15" customHeight="1" x14ac:dyDescent="0.55000000000000004">
      <c r="A421" s="114" t="s">
        <v>1119</v>
      </c>
      <c r="B421" s="115" t="s">
        <v>1120</v>
      </c>
      <c r="C421" s="116" t="s">
        <v>98</v>
      </c>
      <c r="D421" s="114" t="s">
        <v>249</v>
      </c>
      <c r="E421" s="114" t="s">
        <v>80</v>
      </c>
      <c r="F421" s="114" t="s">
        <v>377</v>
      </c>
      <c r="G421" s="117">
        <v>42215</v>
      </c>
      <c r="H421" s="118">
        <v>37.33</v>
      </c>
      <c r="I421" s="118">
        <v>47.65</v>
      </c>
      <c r="J421" s="119">
        <v>1.2765</v>
      </c>
      <c r="K421" s="120">
        <v>49.12</v>
      </c>
      <c r="L421" s="114" t="s">
        <v>48</v>
      </c>
      <c r="M421" s="121" t="e">
        <v>#N/A</v>
      </c>
      <c r="N421" s="120">
        <v>4.62</v>
      </c>
      <c r="O421" s="118">
        <v>5.19</v>
      </c>
      <c r="P421" s="119">
        <v>0.2031</v>
      </c>
      <c r="Q421" s="114"/>
      <c r="R421" s="114"/>
    </row>
    <row r="422" spans="1:18" ht="15" customHeight="1" x14ac:dyDescent="0.55000000000000004">
      <c r="A422" s="114" t="s">
        <v>443</v>
      </c>
      <c r="B422" s="115" t="s">
        <v>444</v>
      </c>
      <c r="C422" s="116" t="s">
        <v>304</v>
      </c>
      <c r="D422" s="114" t="s">
        <v>249</v>
      </c>
      <c r="E422" s="114" t="s">
        <v>44</v>
      </c>
      <c r="F422" s="114" t="s">
        <v>250</v>
      </c>
      <c r="G422" s="117">
        <v>42050</v>
      </c>
      <c r="H422" s="118">
        <v>98.81</v>
      </c>
      <c r="I422" s="118">
        <v>58.52</v>
      </c>
      <c r="J422" s="119">
        <v>0.59219999999999995</v>
      </c>
      <c r="K422" s="120">
        <v>14.7</v>
      </c>
      <c r="L422" s="119">
        <v>2.8000000000000001E-2</v>
      </c>
      <c r="M422" s="120">
        <v>1.7</v>
      </c>
      <c r="N422" s="120">
        <v>0.98</v>
      </c>
      <c r="O422" s="118">
        <v>-127.87</v>
      </c>
      <c r="P422" s="119">
        <v>3.1E-2</v>
      </c>
      <c r="Q422" s="114"/>
      <c r="R422" s="114"/>
    </row>
    <row r="423" spans="1:18" ht="15" customHeight="1" x14ac:dyDescent="0.55000000000000004">
      <c r="A423" s="114" t="s">
        <v>594</v>
      </c>
      <c r="B423" s="115" t="s">
        <v>595</v>
      </c>
      <c r="C423" s="116" t="s">
        <v>479</v>
      </c>
      <c r="D423" s="114" t="s">
        <v>249</v>
      </c>
      <c r="E423" s="114" t="s">
        <v>98</v>
      </c>
      <c r="F423" s="114" t="s">
        <v>412</v>
      </c>
      <c r="G423" s="117">
        <v>42064</v>
      </c>
      <c r="H423" s="118">
        <v>50.21</v>
      </c>
      <c r="I423" s="118">
        <v>50.51</v>
      </c>
      <c r="J423" s="119">
        <v>1.006</v>
      </c>
      <c r="K423" s="120">
        <v>19.059999999999999</v>
      </c>
      <c r="L423" s="119">
        <v>3.3300000000000003E-2</v>
      </c>
      <c r="M423" s="120">
        <v>0.4</v>
      </c>
      <c r="N423" s="120">
        <v>0.94</v>
      </c>
      <c r="O423" s="118">
        <v>-13.78</v>
      </c>
      <c r="P423" s="119">
        <v>5.28E-2</v>
      </c>
      <c r="Q423" s="114"/>
      <c r="R423" s="114"/>
    </row>
    <row r="424" spans="1:18" ht="15" customHeight="1" x14ac:dyDescent="0.55000000000000004">
      <c r="A424" s="114" t="s">
        <v>692</v>
      </c>
      <c r="B424" s="115" t="s">
        <v>693</v>
      </c>
      <c r="C424" s="116" t="s">
        <v>634</v>
      </c>
      <c r="D424" s="114" t="s">
        <v>59</v>
      </c>
      <c r="E424" s="114" t="s">
        <v>80</v>
      </c>
      <c r="F424" s="114" t="s">
        <v>81</v>
      </c>
      <c r="G424" s="117">
        <v>42398</v>
      </c>
      <c r="H424" s="118">
        <v>2.4300000000000002</v>
      </c>
      <c r="I424" s="118">
        <v>15.69</v>
      </c>
      <c r="J424" s="119">
        <v>6.4568000000000003</v>
      </c>
      <c r="K424" s="120">
        <v>18.46</v>
      </c>
      <c r="L424" s="119">
        <v>3.3099999999999997E-2</v>
      </c>
      <c r="M424" s="120">
        <v>0.9</v>
      </c>
      <c r="N424" s="120">
        <v>6.34</v>
      </c>
      <c r="O424" s="118">
        <v>2.4300000000000002</v>
      </c>
      <c r="P424" s="119">
        <v>4.9799999999999997E-2</v>
      </c>
      <c r="Q424" s="120">
        <v>14</v>
      </c>
      <c r="R424" s="118">
        <v>7.21</v>
      </c>
    </row>
    <row r="425" spans="1:18" ht="15" customHeight="1" x14ac:dyDescent="0.55000000000000004">
      <c r="A425" s="114" t="s">
        <v>805</v>
      </c>
      <c r="B425" s="115" t="s">
        <v>806</v>
      </c>
      <c r="C425" s="116" t="s">
        <v>43</v>
      </c>
      <c r="D425" s="114" t="s">
        <v>249</v>
      </c>
      <c r="E425" s="114" t="s">
        <v>80</v>
      </c>
      <c r="F425" s="114" t="s">
        <v>377</v>
      </c>
      <c r="G425" s="117">
        <v>42171</v>
      </c>
      <c r="H425" s="118">
        <v>22.48</v>
      </c>
      <c r="I425" s="118">
        <v>56.17</v>
      </c>
      <c r="J425" s="119">
        <v>2.4986999999999999</v>
      </c>
      <c r="K425" s="120">
        <v>16.77</v>
      </c>
      <c r="L425" s="119">
        <v>1.6400000000000001E-2</v>
      </c>
      <c r="M425" s="120">
        <v>1.6</v>
      </c>
      <c r="N425" s="120">
        <v>2.5</v>
      </c>
      <c r="O425" s="118">
        <v>-27.07</v>
      </c>
      <c r="P425" s="119">
        <v>4.1300000000000003E-2</v>
      </c>
      <c r="Q425" s="114"/>
      <c r="R425" s="114"/>
    </row>
    <row r="426" spans="1:18" ht="15" customHeight="1" x14ac:dyDescent="0.55000000000000004">
      <c r="A426" s="114" t="s">
        <v>807</v>
      </c>
      <c r="B426" s="115" t="s">
        <v>808</v>
      </c>
      <c r="C426" s="116" t="s">
        <v>43</v>
      </c>
      <c r="D426" s="114" t="s">
        <v>249</v>
      </c>
      <c r="E426" s="114" t="s">
        <v>80</v>
      </c>
      <c r="F426" s="114" t="s">
        <v>377</v>
      </c>
      <c r="G426" s="117">
        <v>42092</v>
      </c>
      <c r="H426" s="118">
        <v>0</v>
      </c>
      <c r="I426" s="118">
        <v>14.91</v>
      </c>
      <c r="J426" s="114" t="s">
        <v>48</v>
      </c>
      <c r="K426" s="120">
        <v>10.210000000000001</v>
      </c>
      <c r="L426" s="114" t="s">
        <v>48</v>
      </c>
      <c r="M426" s="120">
        <v>1.5</v>
      </c>
      <c r="N426" s="120">
        <v>2.83</v>
      </c>
      <c r="O426" s="118">
        <v>-22.38</v>
      </c>
      <c r="P426" s="119">
        <v>8.6E-3</v>
      </c>
      <c r="Q426" s="114"/>
      <c r="R426" s="114"/>
    </row>
    <row r="427" spans="1:18" ht="15" customHeight="1" x14ac:dyDescent="0.55000000000000004">
      <c r="A427" s="114" t="s">
        <v>1121</v>
      </c>
      <c r="B427" s="115" t="s">
        <v>1122</v>
      </c>
      <c r="C427" s="116" t="s">
        <v>98</v>
      </c>
      <c r="D427" s="114" t="s">
        <v>249</v>
      </c>
      <c r="E427" s="114" t="s">
        <v>80</v>
      </c>
      <c r="F427" s="114" t="s">
        <v>377</v>
      </c>
      <c r="G427" s="117">
        <v>42102</v>
      </c>
      <c r="H427" s="118">
        <v>114.68</v>
      </c>
      <c r="I427" s="118">
        <v>407.81</v>
      </c>
      <c r="J427" s="119">
        <v>3.5560999999999998</v>
      </c>
      <c r="K427" s="120">
        <v>136.85</v>
      </c>
      <c r="L427" s="114" t="s">
        <v>48</v>
      </c>
      <c r="M427" s="120">
        <v>1.2</v>
      </c>
      <c r="N427" s="120">
        <v>3.31</v>
      </c>
      <c r="O427" s="118">
        <v>7.34</v>
      </c>
      <c r="P427" s="119">
        <v>0.64170000000000005</v>
      </c>
      <c r="Q427" s="114"/>
      <c r="R427" s="114"/>
    </row>
    <row r="428" spans="1:18" ht="15" customHeight="1" x14ac:dyDescent="0.55000000000000004">
      <c r="A428" s="114" t="s">
        <v>596</v>
      </c>
      <c r="B428" s="115" t="s">
        <v>597</v>
      </c>
      <c r="C428" s="116" t="s">
        <v>479</v>
      </c>
      <c r="D428" s="114" t="s">
        <v>249</v>
      </c>
      <c r="E428" s="114" t="s">
        <v>44</v>
      </c>
      <c r="F428" s="114" t="s">
        <v>250</v>
      </c>
      <c r="G428" s="117">
        <v>42031</v>
      </c>
      <c r="H428" s="118">
        <v>20.3</v>
      </c>
      <c r="I428" s="118">
        <v>8.1199999999999992</v>
      </c>
      <c r="J428" s="119">
        <v>0.4</v>
      </c>
      <c r="K428" s="120">
        <v>15.32</v>
      </c>
      <c r="L428" s="119">
        <v>2.9600000000000001E-2</v>
      </c>
      <c r="M428" s="120">
        <v>1.9</v>
      </c>
      <c r="N428" s="114" t="s">
        <v>48</v>
      </c>
      <c r="O428" s="114" t="s">
        <v>48</v>
      </c>
      <c r="P428" s="119">
        <v>3.4099999999999998E-2</v>
      </c>
      <c r="Q428" s="114"/>
      <c r="R428" s="114"/>
    </row>
    <row r="429" spans="1:18" ht="15" customHeight="1" x14ac:dyDescent="0.55000000000000004">
      <c r="A429" s="114" t="s">
        <v>340</v>
      </c>
      <c r="B429" s="115" t="s">
        <v>341</v>
      </c>
      <c r="C429" s="116" t="s">
        <v>297</v>
      </c>
      <c r="D429" s="114" t="s">
        <v>43</v>
      </c>
      <c r="E429" s="114" t="s">
        <v>44</v>
      </c>
      <c r="F429" s="114" t="s">
        <v>45</v>
      </c>
      <c r="G429" s="117">
        <v>42411</v>
      </c>
      <c r="H429" s="118">
        <v>94.84</v>
      </c>
      <c r="I429" s="118">
        <v>40.619999999999997</v>
      </c>
      <c r="J429" s="119">
        <v>0.42830000000000001</v>
      </c>
      <c r="K429" s="120">
        <v>16.510000000000002</v>
      </c>
      <c r="L429" s="119">
        <v>2.1700000000000001E-2</v>
      </c>
      <c r="M429" s="120">
        <v>1.3</v>
      </c>
      <c r="N429" s="120">
        <v>2.08</v>
      </c>
      <c r="O429" s="118">
        <v>-5.26</v>
      </c>
      <c r="P429" s="119">
        <v>4.0099999999999997E-2</v>
      </c>
      <c r="Q429" s="120">
        <v>4</v>
      </c>
      <c r="R429" s="118">
        <v>22</v>
      </c>
    </row>
    <row r="430" spans="1:18" ht="15" customHeight="1" x14ac:dyDescent="0.55000000000000004">
      <c r="A430" s="114" t="s">
        <v>1123</v>
      </c>
      <c r="B430" s="115" t="s">
        <v>1124</v>
      </c>
      <c r="C430" s="116" t="s">
        <v>98</v>
      </c>
      <c r="D430" s="114" t="s">
        <v>249</v>
      </c>
      <c r="E430" s="114" t="s">
        <v>80</v>
      </c>
      <c r="F430" s="114" t="s">
        <v>377</v>
      </c>
      <c r="G430" s="117">
        <v>42132</v>
      </c>
      <c r="H430" s="118">
        <v>30.53</v>
      </c>
      <c r="I430" s="118">
        <v>68.28</v>
      </c>
      <c r="J430" s="119">
        <v>2.2364999999999999</v>
      </c>
      <c r="K430" s="120">
        <v>79.400000000000006</v>
      </c>
      <c r="L430" s="114" t="s">
        <v>48</v>
      </c>
      <c r="M430" s="120">
        <v>1.3</v>
      </c>
      <c r="N430" s="120">
        <v>1.48</v>
      </c>
      <c r="O430" s="118">
        <v>-2.92</v>
      </c>
      <c r="P430" s="119">
        <v>0.35449999999999998</v>
      </c>
      <c r="Q430" s="114"/>
      <c r="R430" s="114"/>
    </row>
    <row r="431" spans="1:18" ht="15" customHeight="1" x14ac:dyDescent="0.55000000000000004">
      <c r="A431" s="114" t="s">
        <v>1125</v>
      </c>
      <c r="B431" s="115" t="s">
        <v>1126</v>
      </c>
      <c r="C431" s="116" t="s">
        <v>98</v>
      </c>
      <c r="D431" s="114" t="s">
        <v>249</v>
      </c>
      <c r="E431" s="114" t="s">
        <v>80</v>
      </c>
      <c r="F431" s="114" t="s">
        <v>377</v>
      </c>
      <c r="G431" s="117">
        <v>42138</v>
      </c>
      <c r="H431" s="118">
        <v>0</v>
      </c>
      <c r="I431" s="118">
        <v>9.85</v>
      </c>
      <c r="J431" s="114" t="s">
        <v>48</v>
      </c>
      <c r="K431" s="114" t="s">
        <v>48</v>
      </c>
      <c r="L431" s="114" t="s">
        <v>48</v>
      </c>
      <c r="M431" s="120">
        <v>1.9</v>
      </c>
      <c r="N431" s="120">
        <v>1.84</v>
      </c>
      <c r="O431" s="118">
        <v>-22.21</v>
      </c>
      <c r="P431" s="119">
        <v>-7.51E-2</v>
      </c>
      <c r="Q431" s="114"/>
      <c r="R431" s="114"/>
    </row>
    <row r="432" spans="1:18" ht="15" customHeight="1" x14ac:dyDescent="0.55000000000000004">
      <c r="A432" s="114" t="s">
        <v>199</v>
      </c>
      <c r="B432" s="115" t="s">
        <v>200</v>
      </c>
      <c r="C432" s="116" t="s">
        <v>142</v>
      </c>
      <c r="D432" s="114" t="s">
        <v>43</v>
      </c>
      <c r="E432" s="114" t="s">
        <v>98</v>
      </c>
      <c r="F432" s="114" t="s">
        <v>132</v>
      </c>
      <c r="G432" s="117">
        <v>42416</v>
      </c>
      <c r="H432" s="118">
        <v>107.23</v>
      </c>
      <c r="I432" s="118">
        <v>94.57</v>
      </c>
      <c r="J432" s="119">
        <v>0.88190000000000002</v>
      </c>
      <c r="K432" s="120">
        <v>13.59</v>
      </c>
      <c r="L432" s="119">
        <v>2.1100000000000001E-2</v>
      </c>
      <c r="M432" s="120">
        <v>1</v>
      </c>
      <c r="N432" s="120">
        <v>2.84</v>
      </c>
      <c r="O432" s="118">
        <v>10.7</v>
      </c>
      <c r="P432" s="119">
        <v>2.5399999999999999E-2</v>
      </c>
      <c r="Q432" s="120">
        <v>7</v>
      </c>
      <c r="R432" s="118">
        <v>70.59</v>
      </c>
    </row>
    <row r="433" spans="1:18" ht="15" customHeight="1" x14ac:dyDescent="0.55000000000000004">
      <c r="A433" s="114" t="s">
        <v>269</v>
      </c>
      <c r="B433" s="115" t="s">
        <v>270</v>
      </c>
      <c r="C433" s="116" t="s">
        <v>215</v>
      </c>
      <c r="D433" s="114" t="s">
        <v>59</v>
      </c>
      <c r="E433" s="114" t="s">
        <v>98</v>
      </c>
      <c r="F433" s="114" t="s">
        <v>150</v>
      </c>
      <c r="G433" s="117">
        <v>42401</v>
      </c>
      <c r="H433" s="118">
        <v>112.84</v>
      </c>
      <c r="I433" s="118">
        <v>107.34</v>
      </c>
      <c r="J433" s="119">
        <v>0.95130000000000003</v>
      </c>
      <c r="K433" s="120">
        <v>18.96</v>
      </c>
      <c r="L433" s="119">
        <v>2.7E-2</v>
      </c>
      <c r="M433" s="120">
        <v>1.3</v>
      </c>
      <c r="N433" s="120">
        <v>6.02</v>
      </c>
      <c r="O433" s="118">
        <v>-2.91</v>
      </c>
      <c r="P433" s="119">
        <v>5.2299999999999999E-2</v>
      </c>
      <c r="Q433" s="120">
        <v>7</v>
      </c>
      <c r="R433" s="118">
        <v>45.3</v>
      </c>
    </row>
    <row r="434" spans="1:18" ht="15" customHeight="1" x14ac:dyDescent="0.55000000000000004">
      <c r="A434" s="114" t="s">
        <v>445</v>
      </c>
      <c r="B434" s="115" t="s">
        <v>446</v>
      </c>
      <c r="C434" s="116" t="s">
        <v>304</v>
      </c>
      <c r="D434" s="114" t="s">
        <v>59</v>
      </c>
      <c r="E434" s="114" t="s">
        <v>98</v>
      </c>
      <c r="F434" s="114" t="s">
        <v>150</v>
      </c>
      <c r="G434" s="117">
        <v>42395</v>
      </c>
      <c r="H434" s="118">
        <v>180.15</v>
      </c>
      <c r="I434" s="118">
        <v>171.43</v>
      </c>
      <c r="J434" s="119">
        <v>0.9516</v>
      </c>
      <c r="K434" s="120">
        <v>28.91</v>
      </c>
      <c r="L434" s="119">
        <v>7.0000000000000001E-3</v>
      </c>
      <c r="M434" s="120">
        <v>1</v>
      </c>
      <c r="N434" s="120">
        <v>2.5099999999999998</v>
      </c>
      <c r="O434" s="118">
        <v>-26.14</v>
      </c>
      <c r="P434" s="119">
        <v>0.10199999999999999</v>
      </c>
      <c r="Q434" s="120">
        <v>2</v>
      </c>
      <c r="R434" s="118">
        <v>87.25</v>
      </c>
    </row>
    <row r="435" spans="1:18" ht="15" customHeight="1" x14ac:dyDescent="0.55000000000000004">
      <c r="A435" s="114" t="s">
        <v>342</v>
      </c>
      <c r="B435" s="115" t="s">
        <v>343</v>
      </c>
      <c r="C435" s="116" t="s">
        <v>297</v>
      </c>
      <c r="D435" s="114" t="s">
        <v>59</v>
      </c>
      <c r="E435" s="114" t="s">
        <v>44</v>
      </c>
      <c r="F435" s="114" t="s">
        <v>60</v>
      </c>
      <c r="G435" s="117">
        <v>42348</v>
      </c>
      <c r="H435" s="118">
        <v>81.25</v>
      </c>
      <c r="I435" s="118">
        <v>57.74</v>
      </c>
      <c r="J435" s="119">
        <v>0.71060000000000001</v>
      </c>
      <c r="K435" s="120">
        <v>27.11</v>
      </c>
      <c r="L435" s="119">
        <v>8.0999999999999996E-3</v>
      </c>
      <c r="M435" s="120">
        <v>0.8</v>
      </c>
      <c r="N435" s="120">
        <v>1.39</v>
      </c>
      <c r="O435" s="118">
        <v>-0.19</v>
      </c>
      <c r="P435" s="119">
        <v>9.2999999999999999E-2</v>
      </c>
      <c r="Q435" s="120">
        <v>20</v>
      </c>
      <c r="R435" s="118">
        <v>18.04</v>
      </c>
    </row>
    <row r="436" spans="1:18" ht="15" customHeight="1" x14ac:dyDescent="0.55000000000000004">
      <c r="A436" s="114" t="s">
        <v>809</v>
      </c>
      <c r="B436" s="115" t="s">
        <v>810</v>
      </c>
      <c r="C436" s="116" t="s">
        <v>43</v>
      </c>
      <c r="D436" s="114" t="s">
        <v>249</v>
      </c>
      <c r="E436" s="114" t="s">
        <v>98</v>
      </c>
      <c r="F436" s="114" t="s">
        <v>412</v>
      </c>
      <c r="G436" s="117">
        <v>42234</v>
      </c>
      <c r="H436" s="118">
        <v>36.270000000000003</v>
      </c>
      <c r="I436" s="118">
        <v>28.46</v>
      </c>
      <c r="J436" s="119">
        <v>0.78469999999999995</v>
      </c>
      <c r="K436" s="120">
        <v>30.28</v>
      </c>
      <c r="L436" s="119">
        <v>2.8E-3</v>
      </c>
      <c r="M436" s="120">
        <v>0.8</v>
      </c>
      <c r="N436" s="120">
        <v>0.74</v>
      </c>
      <c r="O436" s="118">
        <v>-30.35</v>
      </c>
      <c r="P436" s="119">
        <v>0.1089</v>
      </c>
      <c r="Q436" s="120">
        <v>0</v>
      </c>
      <c r="R436" s="114"/>
    </row>
    <row r="437" spans="1:18" ht="15" customHeight="1" x14ac:dyDescent="0.55000000000000004">
      <c r="A437" s="114" t="s">
        <v>978</v>
      </c>
      <c r="B437" s="115" t="s">
        <v>979</v>
      </c>
      <c r="C437" s="116" t="s">
        <v>829</v>
      </c>
      <c r="D437" s="114" t="s">
        <v>249</v>
      </c>
      <c r="E437" s="114" t="s">
        <v>80</v>
      </c>
      <c r="F437" s="114" t="s">
        <v>377</v>
      </c>
      <c r="G437" s="117">
        <v>42251</v>
      </c>
      <c r="H437" s="118">
        <v>32.21</v>
      </c>
      <c r="I437" s="118">
        <v>47.06</v>
      </c>
      <c r="J437" s="119">
        <v>1.4610000000000001</v>
      </c>
      <c r="K437" s="120">
        <v>27.36</v>
      </c>
      <c r="L437" s="119">
        <v>2.5499999999999998E-2</v>
      </c>
      <c r="M437" s="120">
        <v>0.6</v>
      </c>
      <c r="N437" s="120">
        <v>0.75</v>
      </c>
      <c r="O437" s="118">
        <v>-32.85</v>
      </c>
      <c r="P437" s="119">
        <v>9.4299999999999995E-2</v>
      </c>
      <c r="Q437" s="120">
        <v>13</v>
      </c>
      <c r="R437" s="118">
        <v>31.74</v>
      </c>
    </row>
    <row r="438" spans="1:18" ht="15" customHeight="1" x14ac:dyDescent="0.55000000000000004">
      <c r="A438" s="114" t="s">
        <v>271</v>
      </c>
      <c r="B438" s="115" t="s">
        <v>272</v>
      </c>
      <c r="C438" s="116" t="s">
        <v>215</v>
      </c>
      <c r="D438" s="114" t="s">
        <v>59</v>
      </c>
      <c r="E438" s="114" t="s">
        <v>98</v>
      </c>
      <c r="F438" s="114" t="s">
        <v>150</v>
      </c>
      <c r="G438" s="117">
        <v>42418</v>
      </c>
      <c r="H438" s="118">
        <v>117.81</v>
      </c>
      <c r="I438" s="118">
        <v>125.13</v>
      </c>
      <c r="J438" s="119">
        <v>1.0621</v>
      </c>
      <c r="K438" s="120">
        <v>18.59</v>
      </c>
      <c r="L438" s="119">
        <v>2.1399999999999999E-2</v>
      </c>
      <c r="M438" s="120">
        <v>0.8</v>
      </c>
      <c r="N438" s="120">
        <v>1.6</v>
      </c>
      <c r="O438" s="118">
        <v>-30.61</v>
      </c>
      <c r="P438" s="119">
        <v>5.0500000000000003E-2</v>
      </c>
      <c r="Q438" s="120">
        <v>12</v>
      </c>
      <c r="R438" s="118">
        <v>72.06</v>
      </c>
    </row>
    <row r="439" spans="1:18" ht="15" customHeight="1" x14ac:dyDescent="0.55000000000000004">
      <c r="A439" s="114" t="s">
        <v>980</v>
      </c>
      <c r="B439" s="115" t="s">
        <v>981</v>
      </c>
      <c r="C439" s="116" t="s">
        <v>829</v>
      </c>
      <c r="D439" s="114" t="s">
        <v>249</v>
      </c>
      <c r="E439" s="114" t="s">
        <v>98</v>
      </c>
      <c r="F439" s="114" t="s">
        <v>412</v>
      </c>
      <c r="G439" s="117">
        <v>42050</v>
      </c>
      <c r="H439" s="118">
        <v>76.349999999999994</v>
      </c>
      <c r="I439" s="118">
        <v>59.56</v>
      </c>
      <c r="J439" s="119">
        <v>0.78010000000000002</v>
      </c>
      <c r="K439" s="120">
        <v>28.36</v>
      </c>
      <c r="L439" s="119">
        <v>1.34E-2</v>
      </c>
      <c r="M439" s="120">
        <v>0.8</v>
      </c>
      <c r="N439" s="120">
        <v>1.28</v>
      </c>
      <c r="O439" s="118">
        <v>-2.68</v>
      </c>
      <c r="P439" s="119">
        <v>9.9299999999999999E-2</v>
      </c>
      <c r="Q439" s="114"/>
      <c r="R439" s="114"/>
    </row>
    <row r="440" spans="1:18" ht="15" customHeight="1" x14ac:dyDescent="0.55000000000000004">
      <c r="A440" s="114" t="s">
        <v>982</v>
      </c>
      <c r="B440" s="115" t="s">
        <v>983</v>
      </c>
      <c r="C440" s="116" t="s">
        <v>829</v>
      </c>
      <c r="D440" s="114" t="s">
        <v>249</v>
      </c>
      <c r="E440" s="114" t="s">
        <v>80</v>
      </c>
      <c r="F440" s="114" t="s">
        <v>377</v>
      </c>
      <c r="G440" s="117">
        <v>42065</v>
      </c>
      <c r="H440" s="118">
        <v>46.62</v>
      </c>
      <c r="I440" s="118">
        <v>65.06</v>
      </c>
      <c r="J440" s="119">
        <v>1.3955</v>
      </c>
      <c r="K440" s="120">
        <v>19.190000000000001</v>
      </c>
      <c r="L440" s="119">
        <v>3.5400000000000001E-2</v>
      </c>
      <c r="M440" s="120">
        <v>0.2</v>
      </c>
      <c r="N440" s="120">
        <v>0.88</v>
      </c>
      <c r="O440" s="118">
        <v>-67.3</v>
      </c>
      <c r="P440" s="119">
        <v>5.3499999999999999E-2</v>
      </c>
      <c r="Q440" s="114"/>
      <c r="R440" s="114"/>
    </row>
    <row r="441" spans="1:18" ht="15" customHeight="1" x14ac:dyDescent="0.55000000000000004">
      <c r="A441" s="114" t="s">
        <v>1127</v>
      </c>
      <c r="B441" s="115" t="s">
        <v>1128</v>
      </c>
      <c r="C441" s="116" t="s">
        <v>98</v>
      </c>
      <c r="D441" s="114" t="s">
        <v>249</v>
      </c>
      <c r="E441" s="114" t="s">
        <v>80</v>
      </c>
      <c r="F441" s="114" t="s">
        <v>377</v>
      </c>
      <c r="G441" s="117">
        <v>42092</v>
      </c>
      <c r="H441" s="118">
        <v>4.9000000000000004</v>
      </c>
      <c r="I441" s="118">
        <v>26.74</v>
      </c>
      <c r="J441" s="119">
        <v>5.4570999999999996</v>
      </c>
      <c r="K441" s="120">
        <v>34.28</v>
      </c>
      <c r="L441" s="119">
        <v>8.9999999999999993E-3</v>
      </c>
      <c r="M441" s="120">
        <v>1.6</v>
      </c>
      <c r="N441" s="114" t="s">
        <v>48</v>
      </c>
      <c r="O441" s="114" t="s">
        <v>48</v>
      </c>
      <c r="P441" s="119">
        <v>0.12889999999999999</v>
      </c>
      <c r="Q441" s="114"/>
      <c r="R441" s="114"/>
    </row>
    <row r="442" spans="1:18" ht="15" customHeight="1" x14ac:dyDescent="0.55000000000000004">
      <c r="A442" s="114" t="s">
        <v>984</v>
      </c>
      <c r="B442" s="115" t="s">
        <v>985</v>
      </c>
      <c r="C442" s="116" t="s">
        <v>829</v>
      </c>
      <c r="D442" s="114" t="s">
        <v>249</v>
      </c>
      <c r="E442" s="114" t="s">
        <v>80</v>
      </c>
      <c r="F442" s="114" t="s">
        <v>377</v>
      </c>
      <c r="G442" s="117">
        <v>42103</v>
      </c>
      <c r="H442" s="118">
        <v>13.51</v>
      </c>
      <c r="I442" s="118">
        <v>29.93</v>
      </c>
      <c r="J442" s="119">
        <v>2.2153999999999998</v>
      </c>
      <c r="K442" s="120">
        <v>18.940000000000001</v>
      </c>
      <c r="L442" s="119">
        <v>5.4100000000000002E-2</v>
      </c>
      <c r="M442" s="120">
        <v>0.8</v>
      </c>
      <c r="N442" s="120">
        <v>0.61</v>
      </c>
      <c r="O442" s="118">
        <v>-35.04</v>
      </c>
      <c r="P442" s="119">
        <v>5.2200000000000003E-2</v>
      </c>
      <c r="Q442" s="114"/>
      <c r="R442" s="114"/>
    </row>
    <row r="443" spans="1:18" ht="15" customHeight="1" x14ac:dyDescent="0.55000000000000004">
      <c r="A443" s="114" t="s">
        <v>1129</v>
      </c>
      <c r="B443" s="115" t="s">
        <v>1130</v>
      </c>
      <c r="C443" s="116" t="s">
        <v>98</v>
      </c>
      <c r="D443" s="114" t="s">
        <v>249</v>
      </c>
      <c r="E443" s="114" t="s">
        <v>80</v>
      </c>
      <c r="F443" s="114" t="s">
        <v>377</v>
      </c>
      <c r="G443" s="117">
        <v>42140</v>
      </c>
      <c r="H443" s="118">
        <v>0</v>
      </c>
      <c r="I443" s="118">
        <v>46.51</v>
      </c>
      <c r="J443" s="114" t="s">
        <v>48</v>
      </c>
      <c r="K443" s="120">
        <v>221.48</v>
      </c>
      <c r="L443" s="119">
        <v>1.12E-2</v>
      </c>
      <c r="M443" s="120">
        <v>1.4</v>
      </c>
      <c r="N443" s="120">
        <v>1.68</v>
      </c>
      <c r="O443" s="118">
        <v>-19.02</v>
      </c>
      <c r="P443" s="119">
        <v>1.0649</v>
      </c>
      <c r="Q443" s="114"/>
      <c r="R443" s="114"/>
    </row>
    <row r="444" spans="1:18" ht="15" customHeight="1" x14ac:dyDescent="0.55000000000000004">
      <c r="A444" s="114" t="s">
        <v>811</v>
      </c>
      <c r="B444" s="115" t="s">
        <v>812</v>
      </c>
      <c r="C444" s="116" t="s">
        <v>43</v>
      </c>
      <c r="D444" s="114" t="s">
        <v>249</v>
      </c>
      <c r="E444" s="114" t="s">
        <v>98</v>
      </c>
      <c r="F444" s="114" t="s">
        <v>412</v>
      </c>
      <c r="G444" s="117">
        <v>42139</v>
      </c>
      <c r="H444" s="118">
        <v>327.58</v>
      </c>
      <c r="I444" s="118">
        <v>273.55</v>
      </c>
      <c r="J444" s="119">
        <v>0.83509999999999995</v>
      </c>
      <c r="K444" s="120">
        <v>32.14</v>
      </c>
      <c r="L444" s="119">
        <v>1.23E-2</v>
      </c>
      <c r="M444" s="120">
        <v>0.9</v>
      </c>
      <c r="N444" s="120">
        <v>0.82</v>
      </c>
      <c r="O444" s="118">
        <v>-27.71</v>
      </c>
      <c r="P444" s="119">
        <v>0.1182</v>
      </c>
      <c r="Q444" s="114"/>
      <c r="R444" s="114"/>
    </row>
    <row r="445" spans="1:18" ht="15" customHeight="1" x14ac:dyDescent="0.55000000000000004">
      <c r="A445" s="114" t="s">
        <v>694</v>
      </c>
      <c r="B445" s="115" t="s">
        <v>695</v>
      </c>
      <c r="C445" s="116" t="s">
        <v>634</v>
      </c>
      <c r="D445" s="114" t="s">
        <v>59</v>
      </c>
      <c r="E445" s="114" t="s">
        <v>80</v>
      </c>
      <c r="F445" s="114" t="s">
        <v>81</v>
      </c>
      <c r="G445" s="117">
        <v>42410</v>
      </c>
      <c r="H445" s="118">
        <v>67.77</v>
      </c>
      <c r="I445" s="118">
        <v>127.81</v>
      </c>
      <c r="J445" s="119">
        <v>1.8858999999999999</v>
      </c>
      <c r="K445" s="120">
        <v>27.43</v>
      </c>
      <c r="L445" s="119">
        <v>2.1000000000000001E-2</v>
      </c>
      <c r="M445" s="120">
        <v>0.5</v>
      </c>
      <c r="N445" s="120">
        <v>1.77</v>
      </c>
      <c r="O445" s="118">
        <v>-62.58</v>
      </c>
      <c r="P445" s="119">
        <v>9.4600000000000004E-2</v>
      </c>
      <c r="Q445" s="120">
        <v>14</v>
      </c>
      <c r="R445" s="118">
        <v>84.5</v>
      </c>
    </row>
    <row r="446" spans="1:18" ht="15" customHeight="1" x14ac:dyDescent="0.55000000000000004">
      <c r="A446" s="114" t="s">
        <v>813</v>
      </c>
      <c r="B446" s="115" t="s">
        <v>814</v>
      </c>
      <c r="C446" s="116" t="s">
        <v>43</v>
      </c>
      <c r="D446" s="114" t="s">
        <v>249</v>
      </c>
      <c r="E446" s="114" t="s">
        <v>80</v>
      </c>
      <c r="F446" s="114" t="s">
        <v>377</v>
      </c>
      <c r="G446" s="117">
        <v>42404</v>
      </c>
      <c r="H446" s="118">
        <v>3.92</v>
      </c>
      <c r="I446" s="118">
        <v>74.39</v>
      </c>
      <c r="J446" s="119">
        <v>18.977</v>
      </c>
      <c r="K446" s="120">
        <v>26.57</v>
      </c>
      <c r="L446" s="119">
        <v>2.69E-2</v>
      </c>
      <c r="M446" s="120">
        <v>1.5</v>
      </c>
      <c r="N446" s="120">
        <v>1.91</v>
      </c>
      <c r="O446" s="118">
        <v>-4.33</v>
      </c>
      <c r="P446" s="119">
        <v>9.0300000000000005E-2</v>
      </c>
      <c r="Q446" s="120">
        <v>0</v>
      </c>
      <c r="R446" s="118">
        <v>33.42</v>
      </c>
    </row>
    <row r="447" spans="1:18" ht="15" customHeight="1" x14ac:dyDescent="0.55000000000000004">
      <c r="A447" s="114" t="s">
        <v>986</v>
      </c>
      <c r="B447" s="115" t="s">
        <v>987</v>
      </c>
      <c r="C447" s="116" t="s">
        <v>829</v>
      </c>
      <c r="D447" s="114" t="s">
        <v>249</v>
      </c>
      <c r="E447" s="114" t="s">
        <v>80</v>
      </c>
      <c r="F447" s="114" t="s">
        <v>377</v>
      </c>
      <c r="G447" s="117">
        <v>42211</v>
      </c>
      <c r="H447" s="118">
        <v>17.68</v>
      </c>
      <c r="I447" s="118">
        <v>94.31</v>
      </c>
      <c r="J447" s="119">
        <v>5.3342999999999998</v>
      </c>
      <c r="K447" s="120">
        <v>21.98</v>
      </c>
      <c r="L447" s="119">
        <v>3.0499999999999999E-2</v>
      </c>
      <c r="M447" s="120">
        <v>1.4</v>
      </c>
      <c r="N447" s="120">
        <v>2.57</v>
      </c>
      <c r="O447" s="118">
        <v>-86.93</v>
      </c>
      <c r="P447" s="119">
        <v>6.7400000000000002E-2</v>
      </c>
      <c r="Q447" s="114"/>
      <c r="R447" s="114"/>
    </row>
    <row r="448" spans="1:18" ht="15" customHeight="1" x14ac:dyDescent="0.55000000000000004">
      <c r="A448" s="114" t="s">
        <v>598</v>
      </c>
      <c r="B448" s="115" t="s">
        <v>599</v>
      </c>
      <c r="C448" s="116" t="s">
        <v>479</v>
      </c>
      <c r="D448" s="114" t="s">
        <v>249</v>
      </c>
      <c r="E448" s="114" t="s">
        <v>44</v>
      </c>
      <c r="F448" s="114" t="s">
        <v>250</v>
      </c>
      <c r="G448" s="117">
        <v>42223</v>
      </c>
      <c r="H448" s="118">
        <v>48.3</v>
      </c>
      <c r="I448" s="118">
        <v>6.19</v>
      </c>
      <c r="J448" s="119">
        <v>0.12820000000000001</v>
      </c>
      <c r="K448" s="120">
        <v>4.95</v>
      </c>
      <c r="L448" s="114" t="s">
        <v>48</v>
      </c>
      <c r="M448" s="120">
        <v>1.1000000000000001</v>
      </c>
      <c r="N448" s="114" t="s">
        <v>48</v>
      </c>
      <c r="O448" s="114" t="s">
        <v>48</v>
      </c>
      <c r="P448" s="119">
        <v>-1.77E-2</v>
      </c>
      <c r="Q448" s="114"/>
      <c r="R448" s="114"/>
    </row>
    <row r="449" spans="1:18" ht="15" customHeight="1" x14ac:dyDescent="0.55000000000000004">
      <c r="A449" s="114" t="s">
        <v>696</v>
      </c>
      <c r="B449" s="115" t="s">
        <v>697</v>
      </c>
      <c r="C449" s="116" t="s">
        <v>634</v>
      </c>
      <c r="D449" s="114" t="s">
        <v>43</v>
      </c>
      <c r="E449" s="114" t="s">
        <v>80</v>
      </c>
      <c r="F449" s="114" t="s">
        <v>145</v>
      </c>
      <c r="G449" s="117">
        <v>42402</v>
      </c>
      <c r="H449" s="118">
        <v>5.64</v>
      </c>
      <c r="I449" s="118">
        <v>15.49</v>
      </c>
      <c r="J449" s="119">
        <v>2.7465000000000002</v>
      </c>
      <c r="K449" s="120">
        <v>21.22</v>
      </c>
      <c r="L449" s="119">
        <v>1.29E-2</v>
      </c>
      <c r="M449" s="120">
        <v>1.1000000000000001</v>
      </c>
      <c r="N449" s="120">
        <v>4.93</v>
      </c>
      <c r="O449" s="118">
        <v>-1.44</v>
      </c>
      <c r="P449" s="119">
        <v>6.3600000000000004E-2</v>
      </c>
      <c r="Q449" s="120">
        <v>0</v>
      </c>
      <c r="R449" s="118">
        <v>5.6</v>
      </c>
    </row>
    <row r="450" spans="1:18" ht="15" customHeight="1" x14ac:dyDescent="0.55000000000000004">
      <c r="A450" s="114" t="s">
        <v>273</v>
      </c>
      <c r="B450" s="115" t="s">
        <v>274</v>
      </c>
      <c r="C450" s="116" t="s">
        <v>215</v>
      </c>
      <c r="D450" s="114" t="s">
        <v>43</v>
      </c>
      <c r="E450" s="114" t="s">
        <v>44</v>
      </c>
      <c r="F450" s="114" t="s">
        <v>45</v>
      </c>
      <c r="G450" s="117">
        <v>42411</v>
      </c>
      <c r="H450" s="118">
        <v>244.52</v>
      </c>
      <c r="I450" s="118">
        <v>150.81</v>
      </c>
      <c r="J450" s="119">
        <v>0.61680000000000001</v>
      </c>
      <c r="K450" s="120">
        <v>19.95</v>
      </c>
      <c r="L450" s="119">
        <v>1.6199999999999999E-2</v>
      </c>
      <c r="M450" s="120">
        <v>1.4</v>
      </c>
      <c r="N450" s="120">
        <v>2.83</v>
      </c>
      <c r="O450" s="118">
        <v>-2.97</v>
      </c>
      <c r="P450" s="119">
        <v>5.7200000000000001E-2</v>
      </c>
      <c r="Q450" s="120">
        <v>7</v>
      </c>
      <c r="R450" s="118">
        <v>89.09</v>
      </c>
    </row>
    <row r="451" spans="1:18" ht="15" customHeight="1" x14ac:dyDescent="0.55000000000000004">
      <c r="A451" s="114" t="s">
        <v>447</v>
      </c>
      <c r="B451" s="115" t="s">
        <v>448</v>
      </c>
      <c r="C451" s="116" t="s">
        <v>304</v>
      </c>
      <c r="D451" s="114" t="s">
        <v>59</v>
      </c>
      <c r="E451" s="114" t="s">
        <v>98</v>
      </c>
      <c r="F451" s="114" t="s">
        <v>150</v>
      </c>
      <c r="G451" s="117">
        <v>42333</v>
      </c>
      <c r="H451" s="118">
        <v>79.430000000000007</v>
      </c>
      <c r="I451" s="118">
        <v>74.98</v>
      </c>
      <c r="J451" s="119">
        <v>0.94399999999999995</v>
      </c>
      <c r="K451" s="120">
        <v>23.65</v>
      </c>
      <c r="L451" s="119">
        <v>1.6E-2</v>
      </c>
      <c r="M451" s="120">
        <v>2</v>
      </c>
      <c r="N451" s="120">
        <v>3.17</v>
      </c>
      <c r="O451" s="118">
        <v>0.85</v>
      </c>
      <c r="P451" s="119">
        <v>7.5800000000000006E-2</v>
      </c>
      <c r="Q451" s="120">
        <v>3</v>
      </c>
      <c r="R451" s="118">
        <v>35.81</v>
      </c>
    </row>
    <row r="452" spans="1:18" ht="15" customHeight="1" x14ac:dyDescent="0.55000000000000004">
      <c r="A452" s="114" t="s">
        <v>275</v>
      </c>
      <c r="B452" s="115" t="s">
        <v>276</v>
      </c>
      <c r="C452" s="116" t="s">
        <v>215</v>
      </c>
      <c r="D452" s="114" t="s">
        <v>59</v>
      </c>
      <c r="E452" s="114" t="s">
        <v>44</v>
      </c>
      <c r="F452" s="114" t="s">
        <v>60</v>
      </c>
      <c r="G452" s="117">
        <v>42401</v>
      </c>
      <c r="H452" s="118">
        <v>149.61000000000001</v>
      </c>
      <c r="I452" s="118">
        <v>60.97</v>
      </c>
      <c r="J452" s="119">
        <v>0.40749999999999997</v>
      </c>
      <c r="K452" s="120">
        <v>15.67</v>
      </c>
      <c r="L452" s="119">
        <v>1.6400000000000001E-2</v>
      </c>
      <c r="M452" s="120">
        <v>1.2</v>
      </c>
      <c r="N452" s="120">
        <v>3.31</v>
      </c>
      <c r="O452" s="118">
        <v>-27.5</v>
      </c>
      <c r="P452" s="119">
        <v>3.5900000000000001E-2</v>
      </c>
      <c r="Q452" s="120">
        <v>5</v>
      </c>
      <c r="R452" s="118">
        <v>33.29</v>
      </c>
    </row>
    <row r="453" spans="1:18" ht="15" customHeight="1" x14ac:dyDescent="0.55000000000000004">
      <c r="A453" s="114" t="s">
        <v>377</v>
      </c>
      <c r="B453" s="115" t="s">
        <v>988</v>
      </c>
      <c r="C453" s="116" t="s">
        <v>829</v>
      </c>
      <c r="D453" s="114" t="s">
        <v>249</v>
      </c>
      <c r="E453" s="114" t="s">
        <v>80</v>
      </c>
      <c r="F453" s="114" t="s">
        <v>377</v>
      </c>
      <c r="G453" s="117">
        <v>42032</v>
      </c>
      <c r="H453" s="118">
        <v>28.08</v>
      </c>
      <c r="I453" s="118">
        <v>47.98</v>
      </c>
      <c r="J453" s="119">
        <v>1.7087000000000001</v>
      </c>
      <c r="K453" s="120">
        <v>19.579999999999998</v>
      </c>
      <c r="L453" s="119">
        <v>4.5199999999999997E-2</v>
      </c>
      <c r="M453" s="120">
        <v>0</v>
      </c>
      <c r="N453" s="120">
        <v>0.91</v>
      </c>
      <c r="O453" s="118">
        <v>-45.21</v>
      </c>
      <c r="P453" s="119">
        <v>5.5399999999999998E-2</v>
      </c>
      <c r="Q453" s="114"/>
      <c r="R453" s="114"/>
    </row>
    <row r="454" spans="1:18" ht="15" customHeight="1" x14ac:dyDescent="0.55000000000000004">
      <c r="A454" s="114" t="s">
        <v>989</v>
      </c>
      <c r="B454" s="115" t="s">
        <v>990</v>
      </c>
      <c r="C454" s="116" t="s">
        <v>829</v>
      </c>
      <c r="D454" s="114" t="s">
        <v>249</v>
      </c>
      <c r="E454" s="114" t="s">
        <v>98</v>
      </c>
      <c r="F454" s="114" t="s">
        <v>412</v>
      </c>
      <c r="G454" s="117">
        <v>42009</v>
      </c>
      <c r="H454" s="118">
        <v>216.32</v>
      </c>
      <c r="I454" s="118">
        <v>195.29</v>
      </c>
      <c r="J454" s="119">
        <v>0.90280000000000005</v>
      </c>
      <c r="K454" s="120">
        <v>34.75</v>
      </c>
      <c r="L454" s="119">
        <v>3.2800000000000003E-2</v>
      </c>
      <c r="M454" s="120">
        <v>0.7</v>
      </c>
      <c r="N454" s="120">
        <v>1.1599999999999999</v>
      </c>
      <c r="O454" s="118">
        <v>-75.02</v>
      </c>
      <c r="P454" s="119">
        <v>0.13120000000000001</v>
      </c>
      <c r="Q454" s="114"/>
      <c r="R454" s="114"/>
    </row>
    <row r="455" spans="1:18" ht="15" customHeight="1" x14ac:dyDescent="0.55000000000000004">
      <c r="A455" s="114" t="s">
        <v>991</v>
      </c>
      <c r="B455" s="115" t="s">
        <v>992</v>
      </c>
      <c r="C455" s="116" t="s">
        <v>829</v>
      </c>
      <c r="D455" s="114" t="s">
        <v>249</v>
      </c>
      <c r="E455" s="114" t="s">
        <v>80</v>
      </c>
      <c r="F455" s="114" t="s">
        <v>377</v>
      </c>
      <c r="G455" s="117">
        <v>42027</v>
      </c>
      <c r="H455" s="118">
        <v>0</v>
      </c>
      <c r="I455" s="118">
        <v>28.39</v>
      </c>
      <c r="J455" s="114" t="s">
        <v>48</v>
      </c>
      <c r="K455" s="120">
        <v>18.559999999999999</v>
      </c>
      <c r="L455" s="119">
        <v>0.125</v>
      </c>
      <c r="M455" s="120">
        <v>0.6</v>
      </c>
      <c r="N455" s="120">
        <v>1.33</v>
      </c>
      <c r="O455" s="118">
        <v>-20.96</v>
      </c>
      <c r="P455" s="119">
        <v>5.0299999999999997E-2</v>
      </c>
      <c r="Q455" s="114"/>
      <c r="R455" s="114"/>
    </row>
    <row r="456" spans="1:18" ht="15" customHeight="1" x14ac:dyDescent="0.55000000000000004">
      <c r="A456" s="114" t="s">
        <v>449</v>
      </c>
      <c r="B456" s="115" t="s">
        <v>450</v>
      </c>
      <c r="C456" s="116" t="s">
        <v>304</v>
      </c>
      <c r="D456" s="114" t="s">
        <v>249</v>
      </c>
      <c r="E456" s="114" t="s">
        <v>80</v>
      </c>
      <c r="F456" s="114" t="s">
        <v>377</v>
      </c>
      <c r="G456" s="117">
        <v>42271</v>
      </c>
      <c r="H456" s="118">
        <v>0.41</v>
      </c>
      <c r="I456" s="118">
        <v>9.6999999999999993</v>
      </c>
      <c r="J456" s="119">
        <v>23.6585</v>
      </c>
      <c r="K456" s="120">
        <v>19.02</v>
      </c>
      <c r="L456" s="119">
        <v>4.9500000000000002E-2</v>
      </c>
      <c r="M456" s="120">
        <v>1.5</v>
      </c>
      <c r="N456" s="120">
        <v>1.58</v>
      </c>
      <c r="O456" s="118">
        <v>0.41</v>
      </c>
      <c r="P456" s="119">
        <v>5.2600000000000001E-2</v>
      </c>
      <c r="Q456" s="120">
        <v>0</v>
      </c>
      <c r="R456" s="118">
        <v>10.88</v>
      </c>
    </row>
    <row r="457" spans="1:18" ht="15" customHeight="1" x14ac:dyDescent="0.55000000000000004">
      <c r="A457" s="114" t="s">
        <v>1131</v>
      </c>
      <c r="B457" s="115" t="s">
        <v>1132</v>
      </c>
      <c r="C457" s="116" t="s">
        <v>98</v>
      </c>
      <c r="D457" s="114" t="s">
        <v>249</v>
      </c>
      <c r="E457" s="114" t="s">
        <v>80</v>
      </c>
      <c r="F457" s="114" t="s">
        <v>377</v>
      </c>
      <c r="G457" s="117">
        <v>42284</v>
      </c>
      <c r="H457" s="118">
        <v>94.95</v>
      </c>
      <c r="I457" s="118">
        <v>114.65</v>
      </c>
      <c r="J457" s="119">
        <v>1.2075</v>
      </c>
      <c r="K457" s="120">
        <v>31.85</v>
      </c>
      <c r="L457" s="114" t="s">
        <v>48</v>
      </c>
      <c r="M457" s="120">
        <v>0.2</v>
      </c>
      <c r="N457" s="120">
        <v>1.3</v>
      </c>
      <c r="O457" s="118">
        <v>-22.08</v>
      </c>
      <c r="P457" s="119">
        <v>0.1167</v>
      </c>
      <c r="Q457" s="120">
        <v>0</v>
      </c>
      <c r="R457" s="118">
        <v>44.77</v>
      </c>
    </row>
    <row r="458" spans="1:18" ht="15" customHeight="1" x14ac:dyDescent="0.55000000000000004">
      <c r="A458" s="114" t="s">
        <v>993</v>
      </c>
      <c r="B458" s="115" t="s">
        <v>994</v>
      </c>
      <c r="C458" s="116" t="s">
        <v>829</v>
      </c>
      <c r="D458" s="114" t="s">
        <v>249</v>
      </c>
      <c r="E458" s="114" t="s">
        <v>80</v>
      </c>
      <c r="F458" s="114" t="s">
        <v>377</v>
      </c>
      <c r="G458" s="117">
        <v>42303</v>
      </c>
      <c r="H458" s="118">
        <v>39.29</v>
      </c>
      <c r="I458" s="118">
        <v>97.44</v>
      </c>
      <c r="J458" s="119">
        <v>2.48</v>
      </c>
      <c r="K458" s="120">
        <v>21.9</v>
      </c>
      <c r="L458" s="119">
        <v>3.1E-2</v>
      </c>
      <c r="M458" s="120">
        <v>0.4</v>
      </c>
      <c r="N458" s="120">
        <v>0.8</v>
      </c>
      <c r="O458" s="118">
        <v>-98.6</v>
      </c>
      <c r="P458" s="119">
        <v>6.7000000000000004E-2</v>
      </c>
      <c r="Q458" s="120">
        <v>5</v>
      </c>
      <c r="R458" s="118">
        <v>71.02</v>
      </c>
    </row>
    <row r="459" spans="1:18" ht="15" customHeight="1" x14ac:dyDescent="0.55000000000000004">
      <c r="A459" s="114" t="s">
        <v>122</v>
      </c>
      <c r="B459" s="115" t="s">
        <v>123</v>
      </c>
      <c r="C459" s="116" t="s">
        <v>79</v>
      </c>
      <c r="D459" s="114" t="s">
        <v>59</v>
      </c>
      <c r="E459" s="114" t="s">
        <v>44</v>
      </c>
      <c r="F459" s="114" t="s">
        <v>60</v>
      </c>
      <c r="G459" s="117">
        <v>42417</v>
      </c>
      <c r="H459" s="118">
        <v>124.28</v>
      </c>
      <c r="I459" s="118">
        <v>35.99</v>
      </c>
      <c r="J459" s="119">
        <v>0.28960000000000002</v>
      </c>
      <c r="K459" s="120">
        <v>11.14</v>
      </c>
      <c r="L459" s="119">
        <v>2.6700000000000002E-2</v>
      </c>
      <c r="M459" s="120">
        <v>1.5</v>
      </c>
      <c r="N459" s="114" t="s">
        <v>48</v>
      </c>
      <c r="O459" s="114" t="s">
        <v>48</v>
      </c>
      <c r="P459" s="119">
        <v>1.32E-2</v>
      </c>
      <c r="Q459" s="120">
        <v>6</v>
      </c>
      <c r="R459" s="118">
        <v>56.02</v>
      </c>
    </row>
    <row r="460" spans="1:18" ht="15" customHeight="1" x14ac:dyDescent="0.55000000000000004">
      <c r="A460" s="114" t="s">
        <v>600</v>
      </c>
      <c r="B460" s="115" t="s">
        <v>601</v>
      </c>
      <c r="C460" s="116" t="s">
        <v>479</v>
      </c>
      <c r="D460" s="114" t="s">
        <v>249</v>
      </c>
      <c r="E460" s="114" t="s">
        <v>98</v>
      </c>
      <c r="F460" s="114" t="s">
        <v>412</v>
      </c>
      <c r="G460" s="117">
        <v>42052</v>
      </c>
      <c r="H460" s="118">
        <v>56.49</v>
      </c>
      <c r="I460" s="118">
        <v>54.92</v>
      </c>
      <c r="J460" s="119">
        <v>0.97219999999999995</v>
      </c>
      <c r="K460" s="120">
        <v>19.54</v>
      </c>
      <c r="L460" s="119">
        <v>2.2599999999999999E-2</v>
      </c>
      <c r="M460" s="120">
        <v>1.3</v>
      </c>
      <c r="N460" s="120">
        <v>1.47</v>
      </c>
      <c r="O460" s="118">
        <v>-7.05</v>
      </c>
      <c r="P460" s="119">
        <v>5.5199999999999999E-2</v>
      </c>
      <c r="Q460" s="114"/>
      <c r="R460" s="114"/>
    </row>
    <row r="461" spans="1:18" ht="15" customHeight="1" x14ac:dyDescent="0.55000000000000004">
      <c r="A461" s="114" t="s">
        <v>124</v>
      </c>
      <c r="B461" s="115" t="s">
        <v>125</v>
      </c>
      <c r="C461" s="116" t="s">
        <v>79</v>
      </c>
      <c r="D461" s="114" t="s">
        <v>59</v>
      </c>
      <c r="E461" s="114" t="s">
        <v>44</v>
      </c>
      <c r="F461" s="114" t="s">
        <v>60</v>
      </c>
      <c r="G461" s="117">
        <v>42335</v>
      </c>
      <c r="H461" s="118">
        <v>168.45</v>
      </c>
      <c r="I461" s="118">
        <v>57.69</v>
      </c>
      <c r="J461" s="119">
        <v>0.34250000000000003</v>
      </c>
      <c r="K461" s="120">
        <v>13.17</v>
      </c>
      <c r="L461" s="119">
        <v>2.3599999999999999E-2</v>
      </c>
      <c r="M461" s="120">
        <v>1.5</v>
      </c>
      <c r="N461" s="114" t="s">
        <v>48</v>
      </c>
      <c r="O461" s="114" t="s">
        <v>48</v>
      </c>
      <c r="P461" s="119">
        <v>2.3400000000000001E-2</v>
      </c>
      <c r="Q461" s="120">
        <v>5</v>
      </c>
      <c r="R461" s="118">
        <v>66.44</v>
      </c>
    </row>
    <row r="462" spans="1:18" ht="15" customHeight="1" x14ac:dyDescent="0.55000000000000004">
      <c r="A462" s="114" t="s">
        <v>126</v>
      </c>
      <c r="B462" s="115" t="s">
        <v>127</v>
      </c>
      <c r="C462" s="116" t="s">
        <v>79</v>
      </c>
      <c r="D462" s="114" t="s">
        <v>59</v>
      </c>
      <c r="E462" s="114" t="s">
        <v>44</v>
      </c>
      <c r="F462" s="114" t="s">
        <v>60</v>
      </c>
      <c r="G462" s="117">
        <v>42417</v>
      </c>
      <c r="H462" s="118">
        <v>77.31</v>
      </c>
      <c r="I462" s="118">
        <v>18.079999999999998</v>
      </c>
      <c r="J462" s="119">
        <v>0.2339</v>
      </c>
      <c r="K462" s="120">
        <v>9</v>
      </c>
      <c r="L462" s="119">
        <v>0.1062</v>
      </c>
      <c r="M462" s="120">
        <v>0.6</v>
      </c>
      <c r="N462" s="114" t="s">
        <v>48</v>
      </c>
      <c r="O462" s="114" t="s">
        <v>48</v>
      </c>
      <c r="P462" s="119">
        <v>2.5000000000000001E-3</v>
      </c>
      <c r="Q462" s="120">
        <v>6</v>
      </c>
      <c r="R462" s="118">
        <v>29.2</v>
      </c>
    </row>
    <row r="463" spans="1:18" ht="15" customHeight="1" x14ac:dyDescent="0.55000000000000004">
      <c r="A463" s="114" t="s">
        <v>201</v>
      </c>
      <c r="B463" s="115" t="s">
        <v>202</v>
      </c>
      <c r="C463" s="116" t="s">
        <v>142</v>
      </c>
      <c r="D463" s="114" t="s">
        <v>59</v>
      </c>
      <c r="E463" s="114" t="s">
        <v>44</v>
      </c>
      <c r="F463" s="114" t="s">
        <v>60</v>
      </c>
      <c r="G463" s="117">
        <v>42395</v>
      </c>
      <c r="H463" s="118">
        <v>126.55</v>
      </c>
      <c r="I463" s="118">
        <v>33.93</v>
      </c>
      <c r="J463" s="119">
        <v>0.2681</v>
      </c>
      <c r="K463" s="120">
        <v>8.1999999999999993</v>
      </c>
      <c r="L463" s="119">
        <v>7.4300000000000005E-2</v>
      </c>
      <c r="M463" s="120">
        <v>2.5</v>
      </c>
      <c r="N463" s="120">
        <v>1.8</v>
      </c>
      <c r="O463" s="118">
        <v>-7.39</v>
      </c>
      <c r="P463" s="119">
        <v>-1.5E-3</v>
      </c>
      <c r="Q463" s="120">
        <v>6</v>
      </c>
      <c r="R463" s="118">
        <v>18.059999999999999</v>
      </c>
    </row>
    <row r="464" spans="1:18" ht="15" customHeight="1" x14ac:dyDescent="0.55000000000000004">
      <c r="A464" s="114" t="s">
        <v>1149</v>
      </c>
      <c r="B464" s="115" t="s">
        <v>1150</v>
      </c>
      <c r="C464" s="127" t="e">
        <v>#REF!</v>
      </c>
      <c r="D464" s="114" t="s">
        <v>59</v>
      </c>
      <c r="E464" s="114" t="s">
        <v>98</v>
      </c>
      <c r="F464" s="114" t="s">
        <v>150</v>
      </c>
      <c r="G464" s="117">
        <v>42377</v>
      </c>
      <c r="H464" s="118">
        <v>168.71</v>
      </c>
      <c r="I464" s="118">
        <v>143.78</v>
      </c>
      <c r="J464" s="119">
        <v>0.85219999999999996</v>
      </c>
      <c r="K464" s="120">
        <v>32.83</v>
      </c>
      <c r="L464" s="121" t="e">
        <v>#REF!</v>
      </c>
      <c r="M464" s="120">
        <v>0.9</v>
      </c>
      <c r="N464" s="120">
        <v>2.58</v>
      </c>
      <c r="O464" s="118">
        <v>-31.9</v>
      </c>
      <c r="P464" s="119">
        <v>0.1216</v>
      </c>
      <c r="Q464" s="120">
        <v>1</v>
      </c>
      <c r="R464" s="118">
        <v>43.09</v>
      </c>
    </row>
    <row r="465" spans="1:18" ht="15" customHeight="1" x14ac:dyDescent="0.55000000000000004">
      <c r="A465" s="114" t="s">
        <v>451</v>
      </c>
      <c r="B465" s="115" t="s">
        <v>452</v>
      </c>
      <c r="C465" s="116" t="s">
        <v>304</v>
      </c>
      <c r="D465" s="114" t="s">
        <v>249</v>
      </c>
      <c r="E465" s="114" t="s">
        <v>98</v>
      </c>
      <c r="F465" s="114" t="s">
        <v>412</v>
      </c>
      <c r="G465" s="117">
        <v>42397</v>
      </c>
      <c r="H465" s="118">
        <v>125.2</v>
      </c>
      <c r="I465" s="118">
        <v>96.82</v>
      </c>
      <c r="J465" s="119">
        <v>0.77329999999999999</v>
      </c>
      <c r="K465" s="120">
        <v>20.21</v>
      </c>
      <c r="L465" s="119">
        <v>2.2700000000000001E-2</v>
      </c>
      <c r="M465" s="120">
        <v>1.4</v>
      </c>
      <c r="N465" s="120">
        <v>1.25</v>
      </c>
      <c r="O465" s="118">
        <v>-39.520000000000003</v>
      </c>
      <c r="P465" s="119">
        <v>5.8599999999999999E-2</v>
      </c>
      <c r="Q465" s="120">
        <v>20</v>
      </c>
      <c r="R465" s="118">
        <v>68.319999999999993</v>
      </c>
    </row>
    <row r="466" spans="1:18" ht="15" customHeight="1" x14ac:dyDescent="0.55000000000000004">
      <c r="A466" s="114" t="s">
        <v>277</v>
      </c>
      <c r="B466" s="115" t="s">
        <v>278</v>
      </c>
      <c r="C466" s="116" t="s">
        <v>215</v>
      </c>
      <c r="D466" s="114" t="s">
        <v>59</v>
      </c>
      <c r="E466" s="114" t="s">
        <v>44</v>
      </c>
      <c r="F466" s="114" t="s">
        <v>60</v>
      </c>
      <c r="G466" s="117">
        <v>42417</v>
      </c>
      <c r="H466" s="118">
        <v>142.55000000000001</v>
      </c>
      <c r="I466" s="118">
        <v>68.98</v>
      </c>
      <c r="J466" s="119">
        <v>0.4839</v>
      </c>
      <c r="K466" s="120">
        <v>18.64</v>
      </c>
      <c r="L466" s="119">
        <v>1.5100000000000001E-2</v>
      </c>
      <c r="M466" s="120">
        <v>1.2</v>
      </c>
      <c r="N466" s="120">
        <v>5.75</v>
      </c>
      <c r="O466" s="118">
        <v>8.56</v>
      </c>
      <c r="P466" s="119">
        <v>5.0700000000000002E-2</v>
      </c>
      <c r="Q466" s="120">
        <v>3</v>
      </c>
      <c r="R466" s="118">
        <v>47.96</v>
      </c>
    </row>
    <row r="467" spans="1:18" ht="15" customHeight="1" x14ac:dyDescent="0.55000000000000004">
      <c r="A467" s="114" t="s">
        <v>1133</v>
      </c>
      <c r="B467" s="115" t="s">
        <v>1134</v>
      </c>
      <c r="C467" s="116" t="s">
        <v>98</v>
      </c>
      <c r="D467" s="114" t="s">
        <v>249</v>
      </c>
      <c r="E467" s="114" t="s">
        <v>80</v>
      </c>
      <c r="F467" s="114" t="s">
        <v>377</v>
      </c>
      <c r="G467" s="117">
        <v>42402</v>
      </c>
      <c r="H467" s="118">
        <v>0</v>
      </c>
      <c r="I467" s="118">
        <v>6.2</v>
      </c>
      <c r="J467" s="114" t="s">
        <v>48</v>
      </c>
      <c r="K467" s="114" t="s">
        <v>48</v>
      </c>
      <c r="L467" s="114" t="s">
        <v>48</v>
      </c>
      <c r="M467" s="120">
        <v>1.1000000000000001</v>
      </c>
      <c r="N467" s="120">
        <v>0.73</v>
      </c>
      <c r="O467" s="118">
        <v>-14.96</v>
      </c>
      <c r="P467" s="119">
        <v>-6.5799999999999997E-2</v>
      </c>
      <c r="Q467" s="120">
        <v>0</v>
      </c>
      <c r="R467" s="114" t="s">
        <v>48</v>
      </c>
    </row>
    <row r="468" spans="1:18" ht="15" customHeight="1" x14ac:dyDescent="0.55000000000000004">
      <c r="A468" s="114" t="s">
        <v>602</v>
      </c>
      <c r="B468" s="115" t="s">
        <v>603</v>
      </c>
      <c r="C468" s="116" t="s">
        <v>479</v>
      </c>
      <c r="D468" s="114" t="s">
        <v>59</v>
      </c>
      <c r="E468" s="114" t="s">
        <v>80</v>
      </c>
      <c r="F468" s="114" t="s">
        <v>81</v>
      </c>
      <c r="G468" s="117">
        <v>42395</v>
      </c>
      <c r="H468" s="118">
        <v>18.5</v>
      </c>
      <c r="I468" s="118">
        <v>101.52</v>
      </c>
      <c r="J468" s="119">
        <v>5.4875999999999996</v>
      </c>
      <c r="K468" s="120">
        <v>35.25</v>
      </c>
      <c r="L468" s="119">
        <v>1.4999999999999999E-2</v>
      </c>
      <c r="M468" s="120">
        <v>0.8</v>
      </c>
      <c r="N468" s="120">
        <v>2.2599999999999998</v>
      </c>
      <c r="O468" s="118">
        <v>1.58</v>
      </c>
      <c r="P468" s="119">
        <v>0.1338</v>
      </c>
      <c r="Q468" s="120">
        <v>6</v>
      </c>
      <c r="R468" s="118">
        <v>44.69</v>
      </c>
    </row>
    <row r="469" spans="1:18" ht="15" customHeight="1" x14ac:dyDescent="0.55000000000000004">
      <c r="A469" s="114" t="s">
        <v>203</v>
      </c>
      <c r="B469" s="115" t="s">
        <v>204</v>
      </c>
      <c r="C469" s="116" t="s">
        <v>142</v>
      </c>
      <c r="D469" s="114" t="s">
        <v>59</v>
      </c>
      <c r="E469" s="114" t="s">
        <v>44</v>
      </c>
      <c r="F469" s="114" t="s">
        <v>60</v>
      </c>
      <c r="G469" s="117">
        <v>42419</v>
      </c>
      <c r="H469" s="118">
        <v>43.74</v>
      </c>
      <c r="I469" s="118">
        <v>20.41</v>
      </c>
      <c r="J469" s="119">
        <v>0.46660000000000001</v>
      </c>
      <c r="K469" s="120">
        <v>17.899999999999999</v>
      </c>
      <c r="L469" s="119">
        <v>2.9399999999999999E-2</v>
      </c>
      <c r="M469" s="120">
        <v>1.1000000000000001</v>
      </c>
      <c r="N469" s="120">
        <v>1.87</v>
      </c>
      <c r="O469" s="118">
        <v>0.94</v>
      </c>
      <c r="P469" s="119">
        <v>4.7E-2</v>
      </c>
      <c r="Q469" s="120">
        <v>0</v>
      </c>
      <c r="R469" s="118">
        <v>12.6</v>
      </c>
    </row>
    <row r="470" spans="1:18" ht="15.3" x14ac:dyDescent="0.55000000000000004">
      <c r="A470" s="114" t="s">
        <v>604</v>
      </c>
      <c r="B470" s="115" t="s">
        <v>605</v>
      </c>
      <c r="C470" s="116" t="s">
        <v>479</v>
      </c>
      <c r="D470" s="114" t="s">
        <v>249</v>
      </c>
      <c r="E470" s="114" t="s">
        <v>80</v>
      </c>
      <c r="F470" s="114" t="s">
        <v>377</v>
      </c>
      <c r="G470" s="117">
        <v>42255</v>
      </c>
      <c r="H470" s="118">
        <v>5.0999999999999996</v>
      </c>
      <c r="I470" s="118">
        <v>45.03</v>
      </c>
      <c r="J470" s="119">
        <v>8.8293999999999997</v>
      </c>
      <c r="K470" s="120">
        <v>28.5</v>
      </c>
      <c r="L470" s="119">
        <v>2.75E-2</v>
      </c>
      <c r="M470" s="120">
        <v>0.6</v>
      </c>
      <c r="N470" s="120">
        <v>1.22</v>
      </c>
      <c r="O470" s="118">
        <v>-2.06</v>
      </c>
      <c r="P470" s="119">
        <v>0.1</v>
      </c>
      <c r="Q470" s="120">
        <v>20</v>
      </c>
      <c r="R470" s="118">
        <v>18.91</v>
      </c>
    </row>
    <row r="471" spans="1:18" ht="15.3" x14ac:dyDescent="0.55000000000000004">
      <c r="A471" s="114" t="s">
        <v>995</v>
      </c>
      <c r="B471" s="115" t="s">
        <v>996</v>
      </c>
      <c r="C471" s="116" t="s">
        <v>829</v>
      </c>
      <c r="D471" s="114" t="s">
        <v>249</v>
      </c>
      <c r="E471" s="114" t="s">
        <v>80</v>
      </c>
      <c r="F471" s="114" t="s">
        <v>377</v>
      </c>
      <c r="G471" s="117">
        <v>42047</v>
      </c>
      <c r="H471" s="118">
        <v>1.91</v>
      </c>
      <c r="I471" s="118">
        <v>37.67</v>
      </c>
      <c r="J471" s="119">
        <v>19.7225</v>
      </c>
      <c r="K471" s="120">
        <v>20.25</v>
      </c>
      <c r="L471" s="119">
        <v>5.0999999999999997E-2</v>
      </c>
      <c r="M471" s="120">
        <v>0.3</v>
      </c>
      <c r="N471" s="120">
        <v>0.86</v>
      </c>
      <c r="O471" s="118">
        <v>-1.01</v>
      </c>
      <c r="P471" s="119">
        <v>5.8799999999999998E-2</v>
      </c>
      <c r="Q471" s="114"/>
      <c r="R471" s="114"/>
    </row>
    <row r="472" spans="1:18" ht="15.3" x14ac:dyDescent="0.55000000000000004">
      <c r="A472" s="114" t="s">
        <v>1135</v>
      </c>
      <c r="B472" s="115" t="s">
        <v>1136</v>
      </c>
      <c r="C472" s="116" t="s">
        <v>98</v>
      </c>
      <c r="D472" s="114" t="s">
        <v>249</v>
      </c>
      <c r="E472" s="114" t="s">
        <v>80</v>
      </c>
      <c r="F472" s="114" t="s">
        <v>377</v>
      </c>
      <c r="G472" s="117">
        <v>42314</v>
      </c>
      <c r="H472" s="118">
        <v>5.73</v>
      </c>
      <c r="I472" s="118">
        <v>86.63</v>
      </c>
      <c r="J472" s="119">
        <v>15.1187</v>
      </c>
      <c r="K472" s="120">
        <v>31.97</v>
      </c>
      <c r="L472" s="119">
        <v>1.89E-2</v>
      </c>
      <c r="M472" s="120">
        <v>0.9</v>
      </c>
      <c r="N472" s="120">
        <v>0.63</v>
      </c>
      <c r="O472" s="118">
        <v>-23.13</v>
      </c>
      <c r="P472" s="119">
        <v>0.1173</v>
      </c>
      <c r="Q472" s="120">
        <v>2</v>
      </c>
      <c r="R472" s="118">
        <v>46.83</v>
      </c>
    </row>
    <row r="473" spans="1:18" ht="15.3" x14ac:dyDescent="0.55000000000000004">
      <c r="A473" s="114" t="s">
        <v>815</v>
      </c>
      <c r="B473" s="115" t="s">
        <v>816</v>
      </c>
      <c r="C473" s="116" t="s">
        <v>43</v>
      </c>
      <c r="D473" s="114" t="s">
        <v>249</v>
      </c>
      <c r="E473" s="114" t="s">
        <v>80</v>
      </c>
      <c r="F473" s="114" t="s">
        <v>377</v>
      </c>
      <c r="G473" s="117">
        <v>42255</v>
      </c>
      <c r="H473" s="118">
        <v>3.57</v>
      </c>
      <c r="I473" s="118">
        <v>25.53</v>
      </c>
      <c r="J473" s="119">
        <v>7.1513</v>
      </c>
      <c r="K473" s="120">
        <v>18.64</v>
      </c>
      <c r="L473" s="114" t="s">
        <v>48</v>
      </c>
      <c r="M473" s="120">
        <v>1.1000000000000001</v>
      </c>
      <c r="N473" s="120">
        <v>2.08</v>
      </c>
      <c r="O473" s="118">
        <v>0.2</v>
      </c>
      <c r="P473" s="119">
        <v>5.0700000000000002E-2</v>
      </c>
      <c r="Q473" s="120">
        <v>0</v>
      </c>
      <c r="R473" s="114" t="s">
        <v>48</v>
      </c>
    </row>
    <row r="474" spans="1:18" ht="15.3" x14ac:dyDescent="0.55000000000000004">
      <c r="A474" s="114" t="s">
        <v>817</v>
      </c>
      <c r="B474" s="115" t="s">
        <v>818</v>
      </c>
      <c r="C474" s="116" t="s">
        <v>43</v>
      </c>
      <c r="D474" s="114" t="s">
        <v>249</v>
      </c>
      <c r="E474" s="114" t="s">
        <v>80</v>
      </c>
      <c r="F474" s="114" t="s">
        <v>377</v>
      </c>
      <c r="G474" s="117">
        <v>42167</v>
      </c>
      <c r="H474" s="118">
        <v>0</v>
      </c>
      <c r="I474" s="118">
        <v>6.54</v>
      </c>
      <c r="J474" s="114" t="s">
        <v>48</v>
      </c>
      <c r="K474" s="120">
        <v>5.15</v>
      </c>
      <c r="L474" s="114" t="s">
        <v>48</v>
      </c>
      <c r="M474" s="120">
        <v>1.7</v>
      </c>
      <c r="N474" s="120">
        <v>1.8</v>
      </c>
      <c r="O474" s="118">
        <v>-30.06</v>
      </c>
      <c r="P474" s="119">
        <v>-1.6799999999999999E-2</v>
      </c>
      <c r="Q474" s="114"/>
      <c r="R474" s="114"/>
    </row>
    <row r="475" spans="1:18" ht="15.3" x14ac:dyDescent="0.55000000000000004">
      <c r="A475" s="114" t="s">
        <v>819</v>
      </c>
      <c r="B475" s="115" t="s">
        <v>820</v>
      </c>
      <c r="C475" s="116" t="s">
        <v>43</v>
      </c>
      <c r="D475" s="114" t="s">
        <v>249</v>
      </c>
      <c r="E475" s="114" t="s">
        <v>80</v>
      </c>
      <c r="F475" s="114" t="s">
        <v>377</v>
      </c>
      <c r="G475" s="117">
        <v>42093</v>
      </c>
      <c r="H475" s="118">
        <v>1.6</v>
      </c>
      <c r="I475" s="118">
        <v>27.47</v>
      </c>
      <c r="J475" s="119">
        <v>17.168800000000001</v>
      </c>
      <c r="K475" s="120">
        <v>31.22</v>
      </c>
      <c r="L475" s="119">
        <v>3.3500000000000002E-2</v>
      </c>
      <c r="M475" s="120">
        <v>0.4</v>
      </c>
      <c r="N475" s="120">
        <v>0.69</v>
      </c>
      <c r="O475" s="118">
        <v>-23.22</v>
      </c>
      <c r="P475" s="119">
        <v>0.11360000000000001</v>
      </c>
      <c r="Q475" s="114"/>
      <c r="R475" s="114"/>
    </row>
    <row r="476" spans="1:18" ht="15.3" x14ac:dyDescent="0.55000000000000004">
      <c r="A476" s="114" t="s">
        <v>205</v>
      </c>
      <c r="B476" s="115" t="s">
        <v>206</v>
      </c>
      <c r="C476" s="116" t="s">
        <v>142</v>
      </c>
      <c r="D476" s="114" t="s">
        <v>59</v>
      </c>
      <c r="E476" s="114" t="s">
        <v>44</v>
      </c>
      <c r="F476" s="114" t="s">
        <v>60</v>
      </c>
      <c r="G476" s="117">
        <v>42348</v>
      </c>
      <c r="H476" s="118">
        <v>164.91</v>
      </c>
      <c r="I476" s="118">
        <v>59.26</v>
      </c>
      <c r="J476" s="119">
        <v>0.35930000000000001</v>
      </c>
      <c r="K476" s="120">
        <v>13.85</v>
      </c>
      <c r="L476" s="119">
        <v>2.23E-2</v>
      </c>
      <c r="M476" s="120">
        <v>1.4</v>
      </c>
      <c r="N476" s="120">
        <v>2.2000000000000002</v>
      </c>
      <c r="O476" s="118">
        <v>-7.74</v>
      </c>
      <c r="P476" s="119">
        <v>2.6700000000000002E-2</v>
      </c>
      <c r="Q476" s="120">
        <v>6</v>
      </c>
      <c r="R476" s="118">
        <v>45.91</v>
      </c>
    </row>
    <row r="477" spans="1:18" ht="15.3" x14ac:dyDescent="0.55000000000000004">
      <c r="A477" s="114" t="s">
        <v>606</v>
      </c>
      <c r="B477" s="115" t="s">
        <v>607</v>
      </c>
      <c r="C477" s="116" t="s">
        <v>479</v>
      </c>
      <c r="D477" s="114" t="s">
        <v>249</v>
      </c>
      <c r="E477" s="114" t="s">
        <v>44</v>
      </c>
      <c r="F477" s="114" t="s">
        <v>250</v>
      </c>
      <c r="G477" s="117">
        <v>42324</v>
      </c>
      <c r="H477" s="118">
        <v>96.81</v>
      </c>
      <c r="I477" s="118">
        <v>24.6</v>
      </c>
      <c r="J477" s="119">
        <v>0.25409999999999999</v>
      </c>
      <c r="K477" s="120">
        <v>9.8000000000000007</v>
      </c>
      <c r="L477" s="119">
        <v>2.2800000000000001E-2</v>
      </c>
      <c r="M477" s="120">
        <v>1.9</v>
      </c>
      <c r="N477" s="120">
        <v>1.48</v>
      </c>
      <c r="O477" s="118">
        <v>-24.67</v>
      </c>
      <c r="P477" s="119">
        <v>6.4999999999999997E-3</v>
      </c>
      <c r="Q477" s="120">
        <v>0</v>
      </c>
      <c r="R477" s="118">
        <v>19.48</v>
      </c>
    </row>
    <row r="478" spans="1:18" ht="15.3" x14ac:dyDescent="0.55000000000000004">
      <c r="A478" s="114" t="s">
        <v>997</v>
      </c>
      <c r="B478" s="115" t="s">
        <v>998</v>
      </c>
      <c r="C478" s="116" t="s">
        <v>829</v>
      </c>
      <c r="D478" s="114" t="s">
        <v>249</v>
      </c>
      <c r="E478" s="114" t="s">
        <v>80</v>
      </c>
      <c r="F478" s="114" t="s">
        <v>377</v>
      </c>
      <c r="G478" s="117">
        <v>42174</v>
      </c>
      <c r="H478" s="118">
        <v>0</v>
      </c>
      <c r="I478" s="118">
        <v>81.11</v>
      </c>
      <c r="J478" s="114" t="s">
        <v>48</v>
      </c>
      <c r="K478" s="120">
        <v>35.11</v>
      </c>
      <c r="L478" s="119">
        <v>2.76E-2</v>
      </c>
      <c r="M478" s="120">
        <v>0.6</v>
      </c>
      <c r="N478" s="120">
        <v>1.24</v>
      </c>
      <c r="O478" s="118">
        <v>-20.23</v>
      </c>
      <c r="P478" s="119">
        <v>0.1331</v>
      </c>
      <c r="Q478" s="114"/>
      <c r="R478" s="114"/>
    </row>
    <row r="479" spans="1:18" ht="15.3" x14ac:dyDescent="0.55000000000000004">
      <c r="A479" s="114" t="s">
        <v>1137</v>
      </c>
      <c r="B479" s="115" t="s">
        <v>1138</v>
      </c>
      <c r="C479" s="116" t="s">
        <v>98</v>
      </c>
      <c r="D479" s="114" t="s">
        <v>249</v>
      </c>
      <c r="E479" s="114" t="s">
        <v>80</v>
      </c>
      <c r="F479" s="114" t="s">
        <v>377</v>
      </c>
      <c r="G479" s="117">
        <v>42142</v>
      </c>
      <c r="H479" s="118">
        <v>0</v>
      </c>
      <c r="I479" s="118">
        <v>26.22</v>
      </c>
      <c r="J479" s="114" t="s">
        <v>48</v>
      </c>
      <c r="K479" s="120">
        <v>46</v>
      </c>
      <c r="L479" s="114" t="s">
        <v>48</v>
      </c>
      <c r="M479" s="120">
        <v>1.4</v>
      </c>
      <c r="N479" s="120">
        <v>1.37</v>
      </c>
      <c r="O479" s="118">
        <v>-123.51</v>
      </c>
      <c r="P479" s="119">
        <v>0.1875</v>
      </c>
      <c r="Q479" s="114"/>
      <c r="R479" s="114"/>
    </row>
    <row r="480" spans="1:18" ht="15.3" x14ac:dyDescent="0.55000000000000004">
      <c r="A480" s="114" t="s">
        <v>698</v>
      </c>
      <c r="B480" s="115" t="s">
        <v>699</v>
      </c>
      <c r="C480" s="116" t="s">
        <v>634</v>
      </c>
      <c r="D480" s="114" t="s">
        <v>59</v>
      </c>
      <c r="E480" s="114" t="s">
        <v>80</v>
      </c>
      <c r="F480" s="114" t="s">
        <v>81</v>
      </c>
      <c r="G480" s="117">
        <v>42401</v>
      </c>
      <c r="H480" s="118">
        <v>42.49</v>
      </c>
      <c r="I480" s="118">
        <v>67.709999999999994</v>
      </c>
      <c r="J480" s="119">
        <v>1.5935999999999999</v>
      </c>
      <c r="K480" s="120">
        <v>21.43</v>
      </c>
      <c r="L480" s="119">
        <v>2.3599999999999999E-2</v>
      </c>
      <c r="M480" s="120">
        <v>2</v>
      </c>
      <c r="N480" s="120">
        <v>5.0599999999999996</v>
      </c>
      <c r="O480" s="118">
        <v>9.86</v>
      </c>
      <c r="P480" s="119">
        <v>6.4600000000000005E-2</v>
      </c>
      <c r="Q480" s="120">
        <v>13</v>
      </c>
      <c r="R480" s="118">
        <v>42.81</v>
      </c>
    </row>
    <row r="481" spans="1:18" ht="15.3" x14ac:dyDescent="0.55000000000000004">
      <c r="A481" s="114" t="s">
        <v>279</v>
      </c>
      <c r="B481" s="115" t="s">
        <v>280</v>
      </c>
      <c r="C481" s="116" t="s">
        <v>215</v>
      </c>
      <c r="D481" s="114" t="s">
        <v>59</v>
      </c>
      <c r="E481" s="114" t="s">
        <v>44</v>
      </c>
      <c r="F481" s="114" t="s">
        <v>60</v>
      </c>
      <c r="G481" s="117">
        <v>42403</v>
      </c>
      <c r="H481" s="118">
        <v>107.46</v>
      </c>
      <c r="I481" s="118">
        <v>75.44</v>
      </c>
      <c r="J481" s="119">
        <v>0.70199999999999996</v>
      </c>
      <c r="K481" s="120">
        <v>25.32</v>
      </c>
      <c r="L481" s="119">
        <v>1.11E-2</v>
      </c>
      <c r="M481" s="120">
        <v>0.6</v>
      </c>
      <c r="N481" s="120">
        <v>1.55</v>
      </c>
      <c r="O481" s="118">
        <v>-0.43</v>
      </c>
      <c r="P481" s="119">
        <v>8.4099999999999994E-2</v>
      </c>
      <c r="Q481" s="120">
        <v>3</v>
      </c>
      <c r="R481" s="118">
        <v>21.84</v>
      </c>
    </row>
    <row r="482" spans="1:18" ht="15.3" x14ac:dyDescent="0.55000000000000004">
      <c r="A482" s="114" t="s">
        <v>128</v>
      </c>
      <c r="B482" s="115" t="s">
        <v>129</v>
      </c>
      <c r="C482" s="116" t="s">
        <v>79</v>
      </c>
      <c r="D482" s="114" t="s">
        <v>43</v>
      </c>
      <c r="E482" s="114" t="s">
        <v>44</v>
      </c>
      <c r="F482" s="114" t="s">
        <v>45</v>
      </c>
      <c r="G482" s="117">
        <v>42404</v>
      </c>
      <c r="H482" s="118">
        <v>90.67</v>
      </c>
      <c r="I482" s="118">
        <v>53.44</v>
      </c>
      <c r="J482" s="119">
        <v>0.58940000000000003</v>
      </c>
      <c r="K482" s="120">
        <v>13.67</v>
      </c>
      <c r="L482" s="119">
        <v>1.01E-2</v>
      </c>
      <c r="M482" s="120">
        <v>1.1000000000000001</v>
      </c>
      <c r="N482" s="114" t="s">
        <v>48</v>
      </c>
      <c r="O482" s="114" t="s">
        <v>48</v>
      </c>
      <c r="P482" s="119">
        <v>2.58E-2</v>
      </c>
      <c r="Q482" s="120">
        <v>10</v>
      </c>
      <c r="R482" s="118">
        <v>56.79</v>
      </c>
    </row>
    <row r="483" spans="1:18" ht="15.3" x14ac:dyDescent="0.55000000000000004">
      <c r="A483" s="114" t="s">
        <v>999</v>
      </c>
      <c r="B483" s="115" t="s">
        <v>1000</v>
      </c>
      <c r="C483" s="116" t="s">
        <v>829</v>
      </c>
      <c r="D483" s="114" t="s">
        <v>249</v>
      </c>
      <c r="E483" s="114" t="s">
        <v>98</v>
      </c>
      <c r="F483" s="114" t="s">
        <v>412</v>
      </c>
      <c r="G483" s="117">
        <v>42222</v>
      </c>
      <c r="H483" s="118">
        <v>181.71</v>
      </c>
      <c r="I483" s="118">
        <v>138.12</v>
      </c>
      <c r="J483" s="119">
        <v>0.7601</v>
      </c>
      <c r="K483" s="120">
        <v>27.3</v>
      </c>
      <c r="L483" s="119">
        <v>4.3E-3</v>
      </c>
      <c r="M483" s="120">
        <v>1</v>
      </c>
      <c r="N483" s="120">
        <v>1.02</v>
      </c>
      <c r="O483" s="118">
        <v>-37.01</v>
      </c>
      <c r="P483" s="119">
        <v>9.4E-2</v>
      </c>
      <c r="Q483" s="114"/>
      <c r="R483" s="114"/>
    </row>
    <row r="484" spans="1:18" ht="15.3" x14ac:dyDescent="0.55000000000000004">
      <c r="A484" s="114" t="s">
        <v>608</v>
      </c>
      <c r="B484" s="115" t="s">
        <v>609</v>
      </c>
      <c r="C484" s="116" t="s">
        <v>479</v>
      </c>
      <c r="D484" s="114" t="s">
        <v>59</v>
      </c>
      <c r="E484" s="114" t="s">
        <v>80</v>
      </c>
      <c r="F484" s="114" t="s">
        <v>81</v>
      </c>
      <c r="G484" s="117">
        <v>42332</v>
      </c>
      <c r="H484" s="118">
        <v>57.47</v>
      </c>
      <c r="I484" s="118">
        <v>65.319999999999993</v>
      </c>
      <c r="J484" s="119">
        <v>1.1366000000000001</v>
      </c>
      <c r="K484" s="120">
        <v>43.84</v>
      </c>
      <c r="L484" s="114" t="s">
        <v>48</v>
      </c>
      <c r="M484" s="120">
        <v>2.4</v>
      </c>
      <c r="N484" s="120">
        <v>2.65</v>
      </c>
      <c r="O484" s="118">
        <v>0.49</v>
      </c>
      <c r="P484" s="119">
        <v>0.1767</v>
      </c>
      <c r="Q484" s="120">
        <v>0</v>
      </c>
      <c r="R484" s="118">
        <v>18.079999999999998</v>
      </c>
    </row>
    <row r="485" spans="1:18" ht="15.3" x14ac:dyDescent="0.55000000000000004">
      <c r="A485" s="114" t="s">
        <v>63</v>
      </c>
      <c r="B485" s="115" t="s">
        <v>64</v>
      </c>
      <c r="C485" s="116" t="s">
        <v>42</v>
      </c>
      <c r="D485" s="114" t="s">
        <v>43</v>
      </c>
      <c r="E485" s="114" t="s">
        <v>44</v>
      </c>
      <c r="F485" s="114" t="s">
        <v>45</v>
      </c>
      <c r="G485" s="117">
        <v>42417</v>
      </c>
      <c r="H485" s="118">
        <v>105.86</v>
      </c>
      <c r="I485" s="118">
        <v>71.67</v>
      </c>
      <c r="J485" s="119">
        <v>0.67700000000000005</v>
      </c>
      <c r="K485" s="120">
        <v>16.86</v>
      </c>
      <c r="L485" s="119">
        <v>3.0099999999999998E-2</v>
      </c>
      <c r="M485" s="120">
        <v>1.2</v>
      </c>
      <c r="N485" s="120">
        <v>4.6900000000000004</v>
      </c>
      <c r="O485" s="118">
        <v>4.88</v>
      </c>
      <c r="P485" s="119">
        <v>4.1799999999999997E-2</v>
      </c>
      <c r="Q485" s="120">
        <v>20</v>
      </c>
      <c r="R485" s="118">
        <v>41.77</v>
      </c>
    </row>
    <row r="486" spans="1:18" ht="15.3" x14ac:dyDescent="0.55000000000000004">
      <c r="A486" s="114" t="s">
        <v>65</v>
      </c>
      <c r="B486" s="115" t="s">
        <v>66</v>
      </c>
      <c r="C486" s="116" t="s">
        <v>42</v>
      </c>
      <c r="D486" s="114" t="s">
        <v>43</v>
      </c>
      <c r="E486" s="114" t="s">
        <v>44</v>
      </c>
      <c r="F486" s="114" t="s">
        <v>45</v>
      </c>
      <c r="G486" s="117">
        <v>42324</v>
      </c>
      <c r="H486" s="118">
        <v>296.43</v>
      </c>
      <c r="I486" s="118">
        <v>110.2</v>
      </c>
      <c r="J486" s="119">
        <v>0.37180000000000002</v>
      </c>
      <c r="K486" s="120">
        <v>11.81</v>
      </c>
      <c r="L486" s="119">
        <v>2.2100000000000002E-2</v>
      </c>
      <c r="M486" s="120">
        <v>1.2</v>
      </c>
      <c r="N486" s="114" t="s">
        <v>48</v>
      </c>
      <c r="O486" s="114" t="s">
        <v>48</v>
      </c>
      <c r="P486" s="119">
        <v>1.66E-2</v>
      </c>
      <c r="Q486" s="120">
        <v>10</v>
      </c>
      <c r="R486" s="118">
        <v>135.83000000000001</v>
      </c>
    </row>
    <row r="487" spans="1:18" ht="15.3" x14ac:dyDescent="0.55000000000000004">
      <c r="A487" s="114" t="s">
        <v>700</v>
      </c>
      <c r="B487" s="115" t="s">
        <v>701</v>
      </c>
      <c r="C487" s="116" t="s">
        <v>634</v>
      </c>
      <c r="D487" s="114" t="s">
        <v>59</v>
      </c>
      <c r="E487" s="114" t="s">
        <v>98</v>
      </c>
      <c r="F487" s="114" t="s">
        <v>150</v>
      </c>
      <c r="G487" s="117">
        <v>42304</v>
      </c>
      <c r="H487" s="118">
        <v>89.85</v>
      </c>
      <c r="I487" s="118">
        <v>87.19</v>
      </c>
      <c r="J487" s="119">
        <v>0.97040000000000004</v>
      </c>
      <c r="K487" s="120">
        <v>37.42</v>
      </c>
      <c r="L487" s="119">
        <v>9.1999999999999998E-3</v>
      </c>
      <c r="M487" s="120">
        <v>1</v>
      </c>
      <c r="N487" s="120">
        <v>2.0499999999999998</v>
      </c>
      <c r="O487" s="118">
        <v>3.46</v>
      </c>
      <c r="P487" s="119">
        <v>0.14460000000000001</v>
      </c>
      <c r="Q487" s="120">
        <v>6</v>
      </c>
      <c r="R487" s="118">
        <v>23.16</v>
      </c>
    </row>
    <row r="488" spans="1:18" ht="15.3" x14ac:dyDescent="0.55000000000000004">
      <c r="A488" s="114" t="s">
        <v>610</v>
      </c>
      <c r="B488" s="115" t="s">
        <v>611</v>
      </c>
      <c r="C488" s="116" t="s">
        <v>479</v>
      </c>
      <c r="D488" s="114" t="s">
        <v>249</v>
      </c>
      <c r="E488" s="114" t="s">
        <v>44</v>
      </c>
      <c r="F488" s="114" t="s">
        <v>250</v>
      </c>
      <c r="G488" s="117">
        <v>42185</v>
      </c>
      <c r="H488" s="118">
        <v>96.04</v>
      </c>
      <c r="I488" s="118">
        <v>65.78</v>
      </c>
      <c r="J488" s="119">
        <v>0.68489999999999995</v>
      </c>
      <c r="K488" s="120">
        <v>26.42</v>
      </c>
      <c r="L488" s="119">
        <v>9.1000000000000004E-3</v>
      </c>
      <c r="M488" s="120">
        <v>0.3</v>
      </c>
      <c r="N488" s="120">
        <v>1.4</v>
      </c>
      <c r="O488" s="118">
        <v>-20.49</v>
      </c>
      <c r="P488" s="119">
        <v>8.9599999999999999E-2</v>
      </c>
      <c r="Q488" s="114"/>
      <c r="R488" s="114"/>
    </row>
    <row r="489" spans="1:18" ht="15.3" x14ac:dyDescent="0.55000000000000004">
      <c r="A489" s="114" t="s">
        <v>281</v>
      </c>
      <c r="B489" s="115" t="s">
        <v>282</v>
      </c>
      <c r="C489" s="116" t="s">
        <v>215</v>
      </c>
      <c r="D489" s="114" t="s">
        <v>249</v>
      </c>
      <c r="E489" s="114" t="s">
        <v>44</v>
      </c>
      <c r="F489" s="114" t="s">
        <v>250</v>
      </c>
      <c r="G489" s="117">
        <v>42284</v>
      </c>
      <c r="H489" s="118">
        <v>248.25</v>
      </c>
      <c r="I489" s="118">
        <v>82.2</v>
      </c>
      <c r="J489" s="119">
        <v>0.33110000000000001</v>
      </c>
      <c r="K489" s="120">
        <v>12.74</v>
      </c>
      <c r="L489" s="119">
        <v>2.4299999999999999E-2</v>
      </c>
      <c r="M489" s="120">
        <v>2.1</v>
      </c>
      <c r="N489" s="120">
        <v>1.44</v>
      </c>
      <c r="O489" s="118">
        <v>-55.08</v>
      </c>
      <c r="P489" s="119">
        <v>2.12E-2</v>
      </c>
      <c r="Q489" s="120">
        <v>4</v>
      </c>
      <c r="R489" s="118">
        <v>91.8</v>
      </c>
    </row>
    <row r="490" spans="1:18" ht="15.3" x14ac:dyDescent="0.55000000000000004">
      <c r="A490" s="114" t="s">
        <v>453</v>
      </c>
      <c r="B490" s="115" t="s">
        <v>454</v>
      </c>
      <c r="C490" s="116" t="s">
        <v>304</v>
      </c>
      <c r="D490" s="114" t="s">
        <v>59</v>
      </c>
      <c r="E490" s="114" t="s">
        <v>80</v>
      </c>
      <c r="F490" s="114" t="s">
        <v>81</v>
      </c>
      <c r="G490" s="117">
        <v>42325</v>
      </c>
      <c r="H490" s="118">
        <v>38.700000000000003</v>
      </c>
      <c r="I490" s="118">
        <v>44.65</v>
      </c>
      <c r="J490" s="119">
        <v>1.1536999999999999</v>
      </c>
      <c r="K490" s="120">
        <v>26.9</v>
      </c>
      <c r="L490" s="119">
        <v>8.9999999999999993E-3</v>
      </c>
      <c r="M490" s="120">
        <v>1.1000000000000001</v>
      </c>
      <c r="N490" s="120">
        <v>2.75</v>
      </c>
      <c r="O490" s="118">
        <v>-6.13</v>
      </c>
      <c r="P490" s="119">
        <v>9.1999999999999998E-2</v>
      </c>
      <c r="Q490" s="120">
        <v>0</v>
      </c>
      <c r="R490" s="118">
        <v>21.9</v>
      </c>
    </row>
    <row r="491" spans="1:18" ht="15.3" x14ac:dyDescent="0.55000000000000004">
      <c r="A491" s="114" t="s">
        <v>1001</v>
      </c>
      <c r="B491" s="115" t="s">
        <v>1002</v>
      </c>
      <c r="C491" s="116" t="s">
        <v>829</v>
      </c>
      <c r="D491" s="114" t="s">
        <v>249</v>
      </c>
      <c r="E491" s="114" t="s">
        <v>98</v>
      </c>
      <c r="F491" s="114" t="s">
        <v>412</v>
      </c>
      <c r="G491" s="117">
        <v>42313</v>
      </c>
      <c r="H491" s="118">
        <v>255.26</v>
      </c>
      <c r="I491" s="118">
        <v>193.41</v>
      </c>
      <c r="J491" s="119">
        <v>0.75770000000000004</v>
      </c>
      <c r="K491" s="120">
        <v>29.17</v>
      </c>
      <c r="L491" s="119">
        <v>1.55E-2</v>
      </c>
      <c r="M491" s="120">
        <v>0.9</v>
      </c>
      <c r="N491" s="120">
        <v>0.5</v>
      </c>
      <c r="O491" s="118">
        <v>-133.03</v>
      </c>
      <c r="P491" s="119">
        <v>0.10340000000000001</v>
      </c>
      <c r="Q491" s="120">
        <v>6</v>
      </c>
      <c r="R491" s="118">
        <v>66.58</v>
      </c>
    </row>
    <row r="492" spans="1:18" ht="15.3" x14ac:dyDescent="0.55000000000000004">
      <c r="A492" s="114" t="s">
        <v>455</v>
      </c>
      <c r="B492" s="115" t="s">
        <v>456</v>
      </c>
      <c r="C492" s="116" t="s">
        <v>304</v>
      </c>
      <c r="D492" s="114" t="s">
        <v>249</v>
      </c>
      <c r="E492" s="114" t="s">
        <v>44</v>
      </c>
      <c r="F492" s="114" t="s">
        <v>250</v>
      </c>
      <c r="G492" s="117">
        <v>42033</v>
      </c>
      <c r="H492" s="118">
        <v>135.26</v>
      </c>
      <c r="I492" s="118">
        <v>66.760000000000005</v>
      </c>
      <c r="J492" s="119">
        <v>0.49359999999999998</v>
      </c>
      <c r="K492" s="120">
        <v>19.02</v>
      </c>
      <c r="L492" s="119">
        <v>2.41E-2</v>
      </c>
      <c r="M492" s="120">
        <v>1.2</v>
      </c>
      <c r="N492" s="120">
        <v>1.48</v>
      </c>
      <c r="O492" s="118">
        <v>-28.7</v>
      </c>
      <c r="P492" s="119">
        <v>5.2600000000000001E-2</v>
      </c>
      <c r="Q492" s="114"/>
      <c r="R492" s="114"/>
    </row>
    <row r="493" spans="1:18" ht="15.3" x14ac:dyDescent="0.55000000000000004">
      <c r="A493" s="114" t="s">
        <v>283</v>
      </c>
      <c r="B493" s="115" t="s">
        <v>284</v>
      </c>
      <c r="C493" s="116" t="s">
        <v>215</v>
      </c>
      <c r="D493" s="114" t="s">
        <v>59</v>
      </c>
      <c r="E493" s="114" t="s">
        <v>98</v>
      </c>
      <c r="F493" s="114" t="s">
        <v>150</v>
      </c>
      <c r="G493" s="117">
        <v>42410</v>
      </c>
      <c r="H493" s="118">
        <v>53.05</v>
      </c>
      <c r="I493" s="118">
        <v>54.42</v>
      </c>
      <c r="J493" s="119">
        <v>1.0258</v>
      </c>
      <c r="K493" s="120">
        <v>21.6</v>
      </c>
      <c r="L493" s="119">
        <v>2.7900000000000001E-2</v>
      </c>
      <c r="M493" s="120">
        <v>1.3</v>
      </c>
      <c r="N493" s="120">
        <v>2.77</v>
      </c>
      <c r="O493" s="118">
        <v>0.76</v>
      </c>
      <c r="P493" s="119">
        <v>6.5500000000000003E-2</v>
      </c>
      <c r="Q493" s="120">
        <v>13</v>
      </c>
      <c r="R493" s="118">
        <v>24.07</v>
      </c>
    </row>
    <row r="494" spans="1:18" ht="15.3" x14ac:dyDescent="0.55000000000000004">
      <c r="A494" s="114" t="s">
        <v>285</v>
      </c>
      <c r="B494" s="115" t="s">
        <v>286</v>
      </c>
      <c r="C494" s="116" t="s">
        <v>215</v>
      </c>
      <c r="D494" s="114" t="s">
        <v>59</v>
      </c>
      <c r="E494" s="114" t="s">
        <v>44</v>
      </c>
      <c r="F494" s="114" t="s">
        <v>60</v>
      </c>
      <c r="G494" s="117">
        <v>42349</v>
      </c>
      <c r="H494" s="118">
        <v>79.08</v>
      </c>
      <c r="I494" s="118">
        <v>34.17</v>
      </c>
      <c r="J494" s="119">
        <v>0.43209999999999998</v>
      </c>
      <c r="K494" s="120">
        <v>16.670000000000002</v>
      </c>
      <c r="L494" s="119">
        <v>2.3E-3</v>
      </c>
      <c r="M494" s="120">
        <v>1.6</v>
      </c>
      <c r="N494" s="120">
        <v>1.61</v>
      </c>
      <c r="O494" s="118">
        <v>-12.46</v>
      </c>
      <c r="P494" s="119">
        <v>4.0800000000000003E-2</v>
      </c>
      <c r="Q494" s="120">
        <v>0</v>
      </c>
      <c r="R494" s="118">
        <v>30.75</v>
      </c>
    </row>
    <row r="495" spans="1:18" ht="28.8" x14ac:dyDescent="0.55000000000000004">
      <c r="A495" s="114" t="s">
        <v>612</v>
      </c>
      <c r="B495" s="115" t="s">
        <v>613</v>
      </c>
      <c r="C495" s="116" t="s">
        <v>479</v>
      </c>
      <c r="D495" s="114" t="s">
        <v>249</v>
      </c>
      <c r="E495" s="114" t="s">
        <v>98</v>
      </c>
      <c r="F495" s="114" t="s">
        <v>412</v>
      </c>
      <c r="G495" s="117">
        <v>42332</v>
      </c>
      <c r="H495" s="118">
        <v>41.42</v>
      </c>
      <c r="I495" s="118">
        <v>35.869999999999997</v>
      </c>
      <c r="J495" s="119">
        <v>0.86599999999999999</v>
      </c>
      <c r="K495" s="120">
        <v>17.579999999999998</v>
      </c>
      <c r="L495" s="119">
        <v>2.29E-2</v>
      </c>
      <c r="M495" s="120">
        <v>1.1000000000000001</v>
      </c>
      <c r="N495" s="120">
        <v>1.21</v>
      </c>
      <c r="O495" s="118">
        <v>-8.49</v>
      </c>
      <c r="P495" s="119">
        <v>4.5400000000000003E-2</v>
      </c>
      <c r="Q495" s="120">
        <v>3</v>
      </c>
      <c r="R495" s="118">
        <v>21.01</v>
      </c>
    </row>
    <row r="496" spans="1:18" ht="15.3" x14ac:dyDescent="0.55000000000000004">
      <c r="A496" s="114" t="s">
        <v>614</v>
      </c>
      <c r="B496" s="115" t="s">
        <v>615</v>
      </c>
      <c r="C496" s="116" t="s">
        <v>479</v>
      </c>
      <c r="D496" s="114" t="s">
        <v>59</v>
      </c>
      <c r="E496" s="114" t="s">
        <v>80</v>
      </c>
      <c r="F496" s="114" t="s">
        <v>81</v>
      </c>
      <c r="G496" s="117">
        <v>42305</v>
      </c>
      <c r="H496" s="118">
        <v>27.13</v>
      </c>
      <c r="I496" s="118">
        <v>83.94</v>
      </c>
      <c r="J496" s="119">
        <v>3.0939999999999999</v>
      </c>
      <c r="K496" s="120">
        <v>119.91</v>
      </c>
      <c r="L496" s="114" t="s">
        <v>48</v>
      </c>
      <c r="M496" s="120">
        <v>0.7</v>
      </c>
      <c r="N496" s="120">
        <v>2.09</v>
      </c>
      <c r="O496" s="118">
        <v>1.28</v>
      </c>
      <c r="P496" s="119">
        <v>0.55710000000000004</v>
      </c>
      <c r="Q496" s="120">
        <v>0</v>
      </c>
      <c r="R496" s="118">
        <v>9.56</v>
      </c>
    </row>
    <row r="497" spans="1:18" ht="15.3" x14ac:dyDescent="0.55000000000000004">
      <c r="A497" s="114" t="s">
        <v>616</v>
      </c>
      <c r="B497" s="115" t="s">
        <v>617</v>
      </c>
      <c r="C497" s="116" t="s">
        <v>479</v>
      </c>
      <c r="D497" s="114" t="s">
        <v>249</v>
      </c>
      <c r="E497" s="114" t="s">
        <v>44</v>
      </c>
      <c r="F497" s="114" t="s">
        <v>250</v>
      </c>
      <c r="G497" s="117">
        <v>42201</v>
      </c>
      <c r="H497" s="118">
        <v>196.52</v>
      </c>
      <c r="I497" s="118">
        <v>115.36</v>
      </c>
      <c r="J497" s="119">
        <v>0.58699999999999997</v>
      </c>
      <c r="K497" s="120">
        <v>21.05</v>
      </c>
      <c r="L497" s="119">
        <v>3.5000000000000001E-3</v>
      </c>
      <c r="M497" s="120">
        <v>1.5</v>
      </c>
      <c r="N497" s="120">
        <v>1.37</v>
      </c>
      <c r="O497" s="118">
        <v>-34.39</v>
      </c>
      <c r="P497" s="119">
        <v>6.2799999999999995E-2</v>
      </c>
      <c r="Q497" s="114"/>
      <c r="R497" s="114"/>
    </row>
    <row r="498" spans="1:18" ht="15.3" x14ac:dyDescent="0.55000000000000004">
      <c r="A498" s="114" t="s">
        <v>1003</v>
      </c>
      <c r="B498" s="115" t="s">
        <v>1004</v>
      </c>
      <c r="C498" s="116" t="s">
        <v>829</v>
      </c>
      <c r="D498" s="114" t="s">
        <v>249</v>
      </c>
      <c r="E498" s="114" t="s">
        <v>98</v>
      </c>
      <c r="F498" s="114" t="s">
        <v>412</v>
      </c>
      <c r="G498" s="117">
        <v>42324</v>
      </c>
      <c r="H498" s="118">
        <v>130.87</v>
      </c>
      <c r="I498" s="118">
        <v>121.27</v>
      </c>
      <c r="J498" s="119">
        <v>0.92659999999999998</v>
      </c>
      <c r="K498" s="120">
        <v>21.2</v>
      </c>
      <c r="L498" s="119">
        <v>1.6500000000000001E-2</v>
      </c>
      <c r="M498" s="120">
        <v>0.6</v>
      </c>
      <c r="N498" s="120">
        <v>0.75</v>
      </c>
      <c r="O498" s="118">
        <v>-46.77</v>
      </c>
      <c r="P498" s="119">
        <v>6.3500000000000001E-2</v>
      </c>
      <c r="Q498" s="120">
        <v>6</v>
      </c>
      <c r="R498" s="118">
        <v>69.83</v>
      </c>
    </row>
    <row r="499" spans="1:18" ht="15.3" x14ac:dyDescent="0.55000000000000004">
      <c r="A499" s="114" t="s">
        <v>67</v>
      </c>
      <c r="B499" s="115" t="s">
        <v>68</v>
      </c>
      <c r="C499" s="116" t="s">
        <v>42</v>
      </c>
      <c r="D499" s="114" t="s">
        <v>43</v>
      </c>
      <c r="E499" s="114" t="s">
        <v>44</v>
      </c>
      <c r="F499" s="114" t="s">
        <v>45</v>
      </c>
      <c r="G499" s="117">
        <v>42319</v>
      </c>
      <c r="H499" s="118">
        <v>58.58</v>
      </c>
      <c r="I499" s="118">
        <v>30.45</v>
      </c>
      <c r="J499" s="119">
        <v>0.51980000000000004</v>
      </c>
      <c r="K499" s="120">
        <v>11.19</v>
      </c>
      <c r="L499" s="119">
        <v>2.4299999999999999E-2</v>
      </c>
      <c r="M499" s="120">
        <v>1.4</v>
      </c>
      <c r="N499" s="114" t="s">
        <v>48</v>
      </c>
      <c r="O499" s="114" t="s">
        <v>48</v>
      </c>
      <c r="P499" s="119">
        <v>1.35E-2</v>
      </c>
      <c r="Q499" s="120">
        <v>7</v>
      </c>
      <c r="R499" s="118">
        <v>52.46</v>
      </c>
    </row>
    <row r="500" spans="1:18" ht="15.3" x14ac:dyDescent="0.55000000000000004">
      <c r="A500" s="114" t="s">
        <v>344</v>
      </c>
      <c r="B500" s="115" t="s">
        <v>345</v>
      </c>
      <c r="C500" s="116" t="s">
        <v>297</v>
      </c>
      <c r="D500" s="114" t="s">
        <v>43</v>
      </c>
      <c r="E500" s="114" t="s">
        <v>44</v>
      </c>
      <c r="F500" s="114" t="s">
        <v>45</v>
      </c>
      <c r="G500" s="117">
        <v>42401</v>
      </c>
      <c r="H500" s="118">
        <v>144.36000000000001</v>
      </c>
      <c r="I500" s="118">
        <v>79.47</v>
      </c>
      <c r="J500" s="119">
        <v>0.55049999999999999</v>
      </c>
      <c r="K500" s="120">
        <v>15.11</v>
      </c>
      <c r="L500" s="119">
        <v>2.7699999999999999E-2</v>
      </c>
      <c r="M500" s="120">
        <v>1</v>
      </c>
      <c r="N500" s="120">
        <v>1.29</v>
      </c>
      <c r="O500" s="118">
        <v>-34.79</v>
      </c>
      <c r="P500" s="119">
        <v>3.3000000000000002E-2</v>
      </c>
      <c r="Q500" s="120">
        <v>10</v>
      </c>
      <c r="R500" s="118">
        <v>52.17</v>
      </c>
    </row>
    <row r="501" spans="1:18" ht="15.3" x14ac:dyDescent="0.55000000000000004">
      <c r="A501" s="114" t="s">
        <v>821</v>
      </c>
      <c r="B501" s="115" t="s">
        <v>822</v>
      </c>
      <c r="C501" s="116" t="s">
        <v>43</v>
      </c>
      <c r="D501" s="114" t="s">
        <v>249</v>
      </c>
      <c r="E501" s="114" t="s">
        <v>80</v>
      </c>
      <c r="F501" s="114" t="s">
        <v>377</v>
      </c>
      <c r="G501" s="117">
        <v>42305</v>
      </c>
      <c r="H501" s="118">
        <v>64.680000000000007</v>
      </c>
      <c r="I501" s="118">
        <v>98.75</v>
      </c>
      <c r="J501" s="119">
        <v>1.5266999999999999</v>
      </c>
      <c r="K501" s="120">
        <v>25.65</v>
      </c>
      <c r="L501" s="119">
        <v>3.1600000000000003E-2</v>
      </c>
      <c r="M501" s="120">
        <v>0.9</v>
      </c>
      <c r="N501" s="120">
        <v>1.34</v>
      </c>
      <c r="O501" s="118">
        <v>-23.71</v>
      </c>
      <c r="P501" s="119">
        <v>8.5699999999999998E-2</v>
      </c>
      <c r="Q501" s="120">
        <v>6</v>
      </c>
      <c r="R501" s="118">
        <v>15.74</v>
      </c>
    </row>
    <row r="502" spans="1:18" ht="15.3" x14ac:dyDescent="0.55000000000000004">
      <c r="A502" s="114" t="s">
        <v>287</v>
      </c>
      <c r="B502" s="115" t="s">
        <v>288</v>
      </c>
      <c r="C502" s="116" t="s">
        <v>215</v>
      </c>
      <c r="D502" s="114" t="s">
        <v>43</v>
      </c>
      <c r="E502" s="114" t="s">
        <v>98</v>
      </c>
      <c r="F502" s="114" t="s">
        <v>132</v>
      </c>
      <c r="G502" s="117">
        <v>42375</v>
      </c>
      <c r="H502" s="118">
        <v>29.75</v>
      </c>
      <c r="I502" s="118">
        <v>26.99</v>
      </c>
      <c r="J502" s="119">
        <v>0.90720000000000001</v>
      </c>
      <c r="K502" s="120">
        <v>15.97</v>
      </c>
      <c r="L502" s="114" t="s">
        <v>48</v>
      </c>
      <c r="M502" s="120">
        <v>1</v>
      </c>
      <c r="N502" s="120">
        <v>2.2400000000000002</v>
      </c>
      <c r="O502" s="118">
        <v>1.1499999999999999</v>
      </c>
      <c r="P502" s="119">
        <v>3.7400000000000003E-2</v>
      </c>
      <c r="Q502" s="120">
        <v>0</v>
      </c>
      <c r="R502" s="118">
        <v>19.07</v>
      </c>
    </row>
    <row r="503" spans="1:18" ht="15.3" x14ac:dyDescent="0.55000000000000004">
      <c r="A503" s="114" t="s">
        <v>618</v>
      </c>
      <c r="B503" s="115" t="s">
        <v>619</v>
      </c>
      <c r="C503" s="116" t="s">
        <v>479</v>
      </c>
      <c r="D503" s="114" t="s">
        <v>249</v>
      </c>
      <c r="E503" s="114" t="s">
        <v>44</v>
      </c>
      <c r="F503" s="114" t="s">
        <v>250</v>
      </c>
      <c r="G503" s="117">
        <v>42201</v>
      </c>
      <c r="H503" s="118">
        <v>173.84</v>
      </c>
      <c r="I503" s="118">
        <v>54.31</v>
      </c>
      <c r="J503" s="119">
        <v>0.31240000000000001</v>
      </c>
      <c r="K503" s="120">
        <v>12.02</v>
      </c>
      <c r="L503" s="114" t="s">
        <v>48</v>
      </c>
      <c r="M503" s="120">
        <v>2.4</v>
      </c>
      <c r="N503" s="120">
        <v>0.93</v>
      </c>
      <c r="O503" s="118">
        <v>-94.21</v>
      </c>
      <c r="P503" s="119">
        <v>1.7600000000000001E-2</v>
      </c>
      <c r="Q503" s="114"/>
      <c r="R503" s="114"/>
    </row>
    <row r="504" spans="1:18" ht="15.3" x14ac:dyDescent="0.55000000000000004">
      <c r="A504" s="114" t="s">
        <v>69</v>
      </c>
      <c r="B504" s="115" t="s">
        <v>70</v>
      </c>
      <c r="C504" s="116" t="s">
        <v>42</v>
      </c>
      <c r="D504" s="114" t="s">
        <v>43</v>
      </c>
      <c r="E504" s="114" t="s">
        <v>44</v>
      </c>
      <c r="F504" s="114" t="s">
        <v>45</v>
      </c>
      <c r="G504" s="117">
        <v>42409</v>
      </c>
      <c r="H504" s="118">
        <v>67.3</v>
      </c>
      <c r="I504" s="118">
        <v>40.53</v>
      </c>
      <c r="J504" s="119">
        <v>0.60219999999999996</v>
      </c>
      <c r="K504" s="120">
        <v>12.95</v>
      </c>
      <c r="L504" s="119">
        <v>2.52E-2</v>
      </c>
      <c r="M504" s="120">
        <v>0.8</v>
      </c>
      <c r="N504" s="114" t="s">
        <v>48</v>
      </c>
      <c r="O504" s="114" t="s">
        <v>48</v>
      </c>
      <c r="P504" s="119">
        <v>2.2200000000000001E-2</v>
      </c>
      <c r="Q504" s="120">
        <v>6</v>
      </c>
      <c r="R504" s="118">
        <v>41.16</v>
      </c>
    </row>
    <row r="505" spans="1:18" ht="15.3" x14ac:dyDescent="0.55000000000000004">
      <c r="A505" s="114" t="s">
        <v>130</v>
      </c>
      <c r="B505" s="115" t="s">
        <v>131</v>
      </c>
      <c r="C505" s="116" t="s">
        <v>79</v>
      </c>
      <c r="D505" s="114" t="s">
        <v>43</v>
      </c>
      <c r="E505" s="114" t="s">
        <v>98</v>
      </c>
      <c r="F505" s="114" t="s">
        <v>132</v>
      </c>
      <c r="G505" s="117">
        <v>42324</v>
      </c>
      <c r="H505" s="118">
        <v>106.91</v>
      </c>
      <c r="I505" s="118">
        <v>95.51</v>
      </c>
      <c r="J505" s="119">
        <v>0.89339999999999997</v>
      </c>
      <c r="K505" s="120">
        <v>15.28</v>
      </c>
      <c r="L505" s="119">
        <v>2.6800000000000001E-2</v>
      </c>
      <c r="M505" s="120">
        <v>1.1000000000000001</v>
      </c>
      <c r="N505" s="120">
        <v>1.37</v>
      </c>
      <c r="O505" s="118">
        <v>-32.729999999999997</v>
      </c>
      <c r="P505" s="119">
        <v>3.39E-2</v>
      </c>
      <c r="Q505" s="120">
        <v>20</v>
      </c>
      <c r="R505" s="118">
        <v>69.17</v>
      </c>
    </row>
    <row r="506" spans="1:18" ht="15.3" x14ac:dyDescent="0.55000000000000004">
      <c r="A506" s="114" t="s">
        <v>457</v>
      </c>
      <c r="B506" s="115" t="s">
        <v>458</v>
      </c>
      <c r="C506" s="116" t="s">
        <v>304</v>
      </c>
      <c r="D506" s="114" t="s">
        <v>59</v>
      </c>
      <c r="E506" s="114" t="s">
        <v>98</v>
      </c>
      <c r="F506" s="114" t="s">
        <v>150</v>
      </c>
      <c r="G506" s="117">
        <v>42335</v>
      </c>
      <c r="H506" s="118">
        <v>90.18</v>
      </c>
      <c r="I506" s="118">
        <v>74.260000000000005</v>
      </c>
      <c r="J506" s="119">
        <v>0.82350000000000001</v>
      </c>
      <c r="K506" s="120">
        <v>31.74</v>
      </c>
      <c r="L506" s="119">
        <v>7.4999999999999997E-3</v>
      </c>
      <c r="M506" s="120">
        <v>0.8</v>
      </c>
      <c r="N506" s="120">
        <v>2.0299999999999998</v>
      </c>
      <c r="O506" s="118">
        <v>0.2</v>
      </c>
      <c r="P506" s="119">
        <v>0.1162</v>
      </c>
      <c r="Q506" s="120">
        <v>8</v>
      </c>
      <c r="R506" s="118">
        <v>28.87</v>
      </c>
    </row>
    <row r="507" spans="1:18" ht="15.3" x14ac:dyDescent="0.55000000000000004">
      <c r="A507" s="114" t="s">
        <v>459</v>
      </c>
      <c r="B507" s="115" t="s">
        <v>460</v>
      </c>
      <c r="C507" s="116" t="s">
        <v>304</v>
      </c>
      <c r="D507" s="114" t="s">
        <v>59</v>
      </c>
      <c r="E507" s="114" t="s">
        <v>80</v>
      </c>
      <c r="F507" s="114" t="s">
        <v>81</v>
      </c>
      <c r="G507" s="117">
        <v>42320</v>
      </c>
      <c r="H507" s="118">
        <v>68.48</v>
      </c>
      <c r="I507" s="118">
        <v>78.92</v>
      </c>
      <c r="J507" s="119">
        <v>1.1525000000000001</v>
      </c>
      <c r="K507" s="120">
        <v>19.25</v>
      </c>
      <c r="L507" s="114" t="s">
        <v>48</v>
      </c>
      <c r="M507" s="120">
        <v>0.8</v>
      </c>
      <c r="N507" s="120">
        <v>1.83</v>
      </c>
      <c r="O507" s="118">
        <v>6.4</v>
      </c>
      <c r="P507" s="119">
        <v>5.3699999999999998E-2</v>
      </c>
      <c r="Q507" s="120">
        <v>0</v>
      </c>
      <c r="R507" s="118">
        <v>41.17</v>
      </c>
    </row>
    <row r="508" spans="1:18" ht="15.3" x14ac:dyDescent="0.55000000000000004">
      <c r="A508" s="114" t="s">
        <v>346</v>
      </c>
      <c r="B508" s="115" t="s">
        <v>347</v>
      </c>
      <c r="C508" s="116" t="s">
        <v>297</v>
      </c>
      <c r="D508" s="114" t="s">
        <v>59</v>
      </c>
      <c r="E508" s="114" t="s">
        <v>98</v>
      </c>
      <c r="F508" s="114" t="s">
        <v>150</v>
      </c>
      <c r="G508" s="117">
        <v>42401</v>
      </c>
      <c r="H508" s="118">
        <v>86.11</v>
      </c>
      <c r="I508" s="118">
        <v>66.28</v>
      </c>
      <c r="J508" s="119">
        <v>0.76970000000000005</v>
      </c>
      <c r="K508" s="120">
        <v>24.92</v>
      </c>
      <c r="L508" s="119">
        <v>2.23E-2</v>
      </c>
      <c r="M508" s="120">
        <v>0.7</v>
      </c>
      <c r="N508" s="120">
        <v>1.77</v>
      </c>
      <c r="O508" s="118">
        <v>-0.82</v>
      </c>
      <c r="P508" s="119">
        <v>8.2100000000000006E-2</v>
      </c>
      <c r="Q508" s="120">
        <v>20</v>
      </c>
      <c r="R508" s="118">
        <v>29.6</v>
      </c>
    </row>
    <row r="509" spans="1:18" ht="15.3" x14ac:dyDescent="0.55000000000000004">
      <c r="A509" s="114" t="s">
        <v>461</v>
      </c>
      <c r="B509" s="115" t="s">
        <v>462</v>
      </c>
      <c r="C509" s="116" t="s">
        <v>304</v>
      </c>
      <c r="D509" s="114" t="s">
        <v>249</v>
      </c>
      <c r="E509" s="114" t="s">
        <v>44</v>
      </c>
      <c r="F509" s="114" t="s">
        <v>250</v>
      </c>
      <c r="G509" s="117">
        <v>42009</v>
      </c>
      <c r="H509" s="118">
        <v>158.81</v>
      </c>
      <c r="I509" s="118">
        <v>37.479999999999997</v>
      </c>
      <c r="J509" s="119">
        <v>0.23599999999999999</v>
      </c>
      <c r="K509" s="120">
        <v>8.35</v>
      </c>
      <c r="L509" s="119">
        <v>4.2700000000000002E-2</v>
      </c>
      <c r="M509" s="120">
        <v>1.3</v>
      </c>
      <c r="N509" s="120">
        <v>1.33</v>
      </c>
      <c r="O509" s="118">
        <v>-33.18</v>
      </c>
      <c r="P509" s="119">
        <v>-8.0000000000000004E-4</v>
      </c>
      <c r="Q509" s="114"/>
      <c r="R509" s="114"/>
    </row>
    <row r="510" spans="1:18" ht="15.3" x14ac:dyDescent="0.55000000000000004">
      <c r="A510" s="114" t="s">
        <v>207</v>
      </c>
      <c r="B510" s="115" t="s">
        <v>208</v>
      </c>
      <c r="C510" s="116" t="s">
        <v>142</v>
      </c>
      <c r="D510" s="114" t="s">
        <v>59</v>
      </c>
      <c r="E510" s="114" t="s">
        <v>44</v>
      </c>
      <c r="F510" s="114" t="s">
        <v>60</v>
      </c>
      <c r="G510" s="117">
        <v>42410</v>
      </c>
      <c r="H510" s="118">
        <v>250.51</v>
      </c>
      <c r="I510" s="118">
        <v>62.1</v>
      </c>
      <c r="J510" s="119">
        <v>0.24790000000000001</v>
      </c>
      <c r="K510" s="120">
        <v>9.5399999999999991</v>
      </c>
      <c r="L510" s="119">
        <v>3.8600000000000002E-2</v>
      </c>
      <c r="M510" s="120">
        <v>2</v>
      </c>
      <c r="N510" s="120">
        <v>3.39</v>
      </c>
      <c r="O510" s="118">
        <v>35.130000000000003</v>
      </c>
      <c r="P510" s="119">
        <v>5.1999999999999998E-3</v>
      </c>
      <c r="Q510" s="120">
        <v>6</v>
      </c>
      <c r="R510" s="118">
        <v>46.53</v>
      </c>
    </row>
    <row r="511" spans="1:18" ht="15.3" x14ac:dyDescent="0.55000000000000004">
      <c r="A511" s="114" t="s">
        <v>1139</v>
      </c>
      <c r="B511" s="115" t="s">
        <v>1140</v>
      </c>
      <c r="C511" s="116" t="s">
        <v>98</v>
      </c>
      <c r="D511" s="114" t="s">
        <v>249</v>
      </c>
      <c r="E511" s="114" t="s">
        <v>80</v>
      </c>
      <c r="F511" s="114" t="s">
        <v>377</v>
      </c>
      <c r="G511" s="117">
        <v>42144</v>
      </c>
      <c r="H511" s="118">
        <v>35.450000000000003</v>
      </c>
      <c r="I511" s="118">
        <v>102.24</v>
      </c>
      <c r="J511" s="119">
        <v>2.8841000000000001</v>
      </c>
      <c r="K511" s="120">
        <v>111.13</v>
      </c>
      <c r="L511" s="119">
        <v>7.7999999999999996E-3</v>
      </c>
      <c r="M511" s="120">
        <v>1.4</v>
      </c>
      <c r="N511" s="120">
        <v>1.7</v>
      </c>
      <c r="O511" s="118">
        <v>8.69</v>
      </c>
      <c r="P511" s="119">
        <v>0.51319999999999999</v>
      </c>
      <c r="Q511" s="114"/>
      <c r="R511" s="114"/>
    </row>
    <row r="512" spans="1:18" ht="15.3" x14ac:dyDescent="0.55000000000000004">
      <c r="A512" s="114" t="s">
        <v>620</v>
      </c>
      <c r="B512" s="115" t="s">
        <v>621</v>
      </c>
      <c r="C512" s="116" t="s">
        <v>479</v>
      </c>
      <c r="D512" s="114" t="s">
        <v>249</v>
      </c>
      <c r="E512" s="114" t="s">
        <v>98</v>
      </c>
      <c r="F512" s="114" t="s">
        <v>412</v>
      </c>
      <c r="G512" s="117">
        <v>42142</v>
      </c>
      <c r="H512" s="118">
        <v>82.74</v>
      </c>
      <c r="I512" s="118">
        <v>90.39</v>
      </c>
      <c r="J512" s="119">
        <v>1.0925</v>
      </c>
      <c r="K512" s="120">
        <v>24.7</v>
      </c>
      <c r="L512" s="119">
        <v>2.7900000000000001E-2</v>
      </c>
      <c r="M512" s="120">
        <v>1</v>
      </c>
      <c r="N512" s="114" t="s">
        <v>48</v>
      </c>
      <c r="O512" s="114" t="s">
        <v>48</v>
      </c>
      <c r="P512" s="119">
        <v>8.1000000000000003E-2</v>
      </c>
      <c r="Q512" s="114"/>
      <c r="R512" s="114"/>
    </row>
    <row r="513" spans="1:18" ht="15.3" x14ac:dyDescent="0.55000000000000004">
      <c r="A513" s="114" t="s">
        <v>1005</v>
      </c>
      <c r="B513" s="115" t="s">
        <v>1006</v>
      </c>
      <c r="C513" s="116" t="s">
        <v>829</v>
      </c>
      <c r="D513" s="114" t="s">
        <v>249</v>
      </c>
      <c r="E513" s="114" t="s">
        <v>98</v>
      </c>
      <c r="F513" s="114" t="s">
        <v>412</v>
      </c>
      <c r="G513" s="117">
        <v>42164</v>
      </c>
      <c r="H513" s="118">
        <v>80.2</v>
      </c>
      <c r="I513" s="118">
        <v>87.54</v>
      </c>
      <c r="J513" s="119">
        <v>1.0914999999999999</v>
      </c>
      <c r="K513" s="120">
        <v>33.799999999999997</v>
      </c>
      <c r="L513" s="114" t="s">
        <v>48</v>
      </c>
      <c r="M513" s="120">
        <v>1.3</v>
      </c>
      <c r="N513" s="120">
        <v>1.01</v>
      </c>
      <c r="O513" s="118">
        <v>-12.07</v>
      </c>
      <c r="P513" s="119">
        <v>0.1265</v>
      </c>
      <c r="Q513" s="114"/>
      <c r="R513" s="114"/>
    </row>
    <row r="514" spans="1:18" ht="15.3" x14ac:dyDescent="0.55000000000000004">
      <c r="A514" s="114" t="s">
        <v>1141</v>
      </c>
      <c r="B514" s="115" t="s">
        <v>1142</v>
      </c>
      <c r="C514" s="116" t="s">
        <v>98</v>
      </c>
      <c r="D514" s="114" t="s">
        <v>249</v>
      </c>
      <c r="E514" s="114" t="s">
        <v>80</v>
      </c>
      <c r="F514" s="114" t="s">
        <v>377</v>
      </c>
      <c r="G514" s="117">
        <v>42202</v>
      </c>
      <c r="H514" s="118">
        <v>0</v>
      </c>
      <c r="I514" s="118">
        <v>92.52</v>
      </c>
      <c r="J514" s="114" t="s">
        <v>48</v>
      </c>
      <c r="K514" s="114" t="s">
        <v>48</v>
      </c>
      <c r="L514" s="114" t="s">
        <v>48</v>
      </c>
      <c r="M514" s="120">
        <v>0.7</v>
      </c>
      <c r="N514" s="120">
        <v>4.49</v>
      </c>
      <c r="O514" s="118">
        <v>0.7</v>
      </c>
      <c r="P514" s="119">
        <v>-0.28339999999999999</v>
      </c>
      <c r="Q514" s="114"/>
      <c r="R514" s="114"/>
    </row>
    <row r="515" spans="1:18" ht="15.3" x14ac:dyDescent="0.55000000000000004">
      <c r="A515" s="114" t="s">
        <v>622</v>
      </c>
      <c r="B515" s="115" t="s">
        <v>623</v>
      </c>
      <c r="C515" s="116" t="s">
        <v>479</v>
      </c>
      <c r="D515" s="114" t="s">
        <v>249</v>
      </c>
      <c r="E515" s="114" t="s">
        <v>98</v>
      </c>
      <c r="F515" s="114" t="s">
        <v>412</v>
      </c>
      <c r="G515" s="117">
        <v>42214</v>
      </c>
      <c r="H515" s="118">
        <v>60.68</v>
      </c>
      <c r="I515" s="118">
        <v>58.4</v>
      </c>
      <c r="J515" s="119">
        <v>0.96240000000000003</v>
      </c>
      <c r="K515" s="120">
        <v>23.27</v>
      </c>
      <c r="L515" s="119">
        <v>0.05</v>
      </c>
      <c r="M515" s="120">
        <v>0.3</v>
      </c>
      <c r="N515" s="120">
        <v>0.39</v>
      </c>
      <c r="O515" s="118">
        <v>-38.96</v>
      </c>
      <c r="P515" s="119">
        <v>7.3800000000000004E-2</v>
      </c>
      <c r="Q515" s="114"/>
      <c r="R515" s="114"/>
    </row>
    <row r="516" spans="1:18" ht="15.3" x14ac:dyDescent="0.55000000000000004">
      <c r="A516" s="114" t="s">
        <v>1007</v>
      </c>
      <c r="B516" s="115" t="s">
        <v>1008</v>
      </c>
      <c r="C516" s="116" t="s">
        <v>829</v>
      </c>
      <c r="D516" s="114" t="s">
        <v>249</v>
      </c>
      <c r="E516" s="114" t="s">
        <v>80</v>
      </c>
      <c r="F516" s="114" t="s">
        <v>377</v>
      </c>
      <c r="G516" s="117">
        <v>42067</v>
      </c>
      <c r="H516" s="118">
        <v>37.76</v>
      </c>
      <c r="I516" s="118">
        <v>52.1</v>
      </c>
      <c r="J516" s="119">
        <v>1.3797999999999999</v>
      </c>
      <c r="K516" s="120">
        <v>24.69</v>
      </c>
      <c r="L516" s="119">
        <v>4.3400000000000001E-2</v>
      </c>
      <c r="M516" s="120">
        <v>0.2</v>
      </c>
      <c r="N516" s="120">
        <v>1.06</v>
      </c>
      <c r="O516" s="118">
        <v>-45.9</v>
      </c>
      <c r="P516" s="119">
        <v>8.1000000000000003E-2</v>
      </c>
      <c r="Q516" s="114"/>
      <c r="R516" s="114"/>
    </row>
    <row r="517" spans="1:18" ht="15.3" x14ac:dyDescent="0.55000000000000004">
      <c r="A517" s="114" t="s">
        <v>463</v>
      </c>
      <c r="B517" s="115" t="s">
        <v>464</v>
      </c>
      <c r="C517" s="116" t="s">
        <v>304</v>
      </c>
      <c r="D517" s="114" t="s">
        <v>59</v>
      </c>
      <c r="E517" s="114" t="s">
        <v>80</v>
      </c>
      <c r="F517" s="114" t="s">
        <v>81</v>
      </c>
      <c r="G517" s="117">
        <v>42269</v>
      </c>
      <c r="H517" s="118">
        <v>101.01</v>
      </c>
      <c r="I517" s="118">
        <v>126.03</v>
      </c>
      <c r="J517" s="119">
        <v>1.2477</v>
      </c>
      <c r="K517" s="120">
        <v>23.78</v>
      </c>
      <c r="L517" s="114" t="s">
        <v>48</v>
      </c>
      <c r="M517" s="120">
        <v>0.9</v>
      </c>
      <c r="N517" s="120">
        <v>5.5</v>
      </c>
      <c r="O517" s="118">
        <v>10.93</v>
      </c>
      <c r="P517" s="119">
        <v>7.6399999999999996E-2</v>
      </c>
      <c r="Q517" s="120">
        <v>0</v>
      </c>
      <c r="R517" s="118">
        <v>54.75</v>
      </c>
    </row>
    <row r="518" spans="1:18" ht="15.3" x14ac:dyDescent="0.55000000000000004">
      <c r="A518" s="114" t="s">
        <v>823</v>
      </c>
      <c r="B518" s="115" t="s">
        <v>824</v>
      </c>
      <c r="C518" s="116" t="s">
        <v>43</v>
      </c>
      <c r="D518" s="114" t="s">
        <v>249</v>
      </c>
      <c r="E518" s="114" t="s">
        <v>80</v>
      </c>
      <c r="F518" s="114" t="s">
        <v>377</v>
      </c>
      <c r="G518" s="117">
        <v>42134</v>
      </c>
      <c r="H518" s="118">
        <v>49.63</v>
      </c>
      <c r="I518" s="118">
        <v>79.459999999999994</v>
      </c>
      <c r="J518" s="119">
        <v>1.601</v>
      </c>
      <c r="K518" s="120">
        <v>26.4</v>
      </c>
      <c r="L518" s="119">
        <v>1.8100000000000002E-2</v>
      </c>
      <c r="M518" s="120">
        <v>1.1000000000000001</v>
      </c>
      <c r="N518" s="120">
        <v>1.24</v>
      </c>
      <c r="O518" s="118">
        <v>-18.8</v>
      </c>
      <c r="P518" s="119">
        <v>8.9499999999999996E-2</v>
      </c>
      <c r="Q518" s="114"/>
      <c r="R518" s="114"/>
    </row>
    <row r="519" spans="1:18" ht="15.3" x14ac:dyDescent="0.55000000000000004">
      <c r="A519" s="114" t="s">
        <v>71</v>
      </c>
      <c r="B519" s="115" t="s">
        <v>72</v>
      </c>
      <c r="C519" s="116" t="s">
        <v>42</v>
      </c>
      <c r="D519" s="114" t="s">
        <v>43</v>
      </c>
      <c r="E519" s="114" t="s">
        <v>44</v>
      </c>
      <c r="F519" s="114" t="s">
        <v>45</v>
      </c>
      <c r="G519" s="117">
        <v>42411</v>
      </c>
      <c r="H519" s="118">
        <v>71.58</v>
      </c>
      <c r="I519" s="118">
        <v>47.35</v>
      </c>
      <c r="J519" s="119">
        <v>0.66149999999999998</v>
      </c>
      <c r="K519" s="120">
        <v>8.67</v>
      </c>
      <c r="L519" s="119">
        <v>4.2200000000000001E-2</v>
      </c>
      <c r="M519" s="120">
        <v>1.4</v>
      </c>
      <c r="N519" s="120">
        <v>2.76</v>
      </c>
      <c r="O519" s="118">
        <v>12.99</v>
      </c>
      <c r="P519" s="119">
        <v>8.9999999999999998E-4</v>
      </c>
      <c r="Q519" s="120">
        <v>4</v>
      </c>
      <c r="R519" s="118">
        <v>64.83</v>
      </c>
    </row>
    <row r="520" spans="1:18" ht="15.3" x14ac:dyDescent="0.55000000000000004">
      <c r="A520" s="114" t="s">
        <v>1009</v>
      </c>
      <c r="B520" s="115" t="s">
        <v>1010</v>
      </c>
      <c r="C520" s="116" t="s">
        <v>829</v>
      </c>
      <c r="D520" s="114" t="s">
        <v>249</v>
      </c>
      <c r="E520" s="114" t="s">
        <v>98</v>
      </c>
      <c r="F520" s="114" t="s">
        <v>412</v>
      </c>
      <c r="G520" s="117">
        <v>42104</v>
      </c>
      <c r="H520" s="118">
        <v>54.6</v>
      </c>
      <c r="I520" s="118">
        <v>56.23</v>
      </c>
      <c r="J520" s="119">
        <v>1.0299</v>
      </c>
      <c r="K520" s="120">
        <v>23.14</v>
      </c>
      <c r="L520" s="119">
        <v>3.5200000000000002E-2</v>
      </c>
      <c r="M520" s="120">
        <v>0.1</v>
      </c>
      <c r="N520" s="120">
        <v>0.92</v>
      </c>
      <c r="O520" s="118">
        <v>-40.53</v>
      </c>
      <c r="P520" s="119">
        <v>7.3200000000000001E-2</v>
      </c>
      <c r="Q520" s="114"/>
      <c r="R520" s="114"/>
    </row>
    <row r="521" spans="1:18" ht="15.3" x14ac:dyDescent="0.55000000000000004">
      <c r="A521" s="114" t="s">
        <v>73</v>
      </c>
      <c r="B521" s="115" t="s">
        <v>74</v>
      </c>
      <c r="C521" s="116" t="s">
        <v>42</v>
      </c>
      <c r="D521" s="114" t="s">
        <v>43</v>
      </c>
      <c r="E521" s="114" t="s">
        <v>44</v>
      </c>
      <c r="F521" s="114" t="s">
        <v>45</v>
      </c>
      <c r="G521" s="117">
        <v>42349</v>
      </c>
      <c r="H521" s="118">
        <v>127.37</v>
      </c>
      <c r="I521" s="118">
        <v>49.56</v>
      </c>
      <c r="J521" s="119">
        <v>0.3891</v>
      </c>
      <c r="K521" s="120">
        <v>12.81</v>
      </c>
      <c r="L521" s="119">
        <v>3.0300000000000001E-2</v>
      </c>
      <c r="M521" s="120">
        <v>0.9</v>
      </c>
      <c r="N521" s="114" t="s">
        <v>48</v>
      </c>
      <c r="O521" s="114" t="s">
        <v>48</v>
      </c>
      <c r="P521" s="119">
        <v>2.1499999999999998E-2</v>
      </c>
      <c r="Q521" s="120">
        <v>5</v>
      </c>
      <c r="R521" s="118">
        <v>55.37</v>
      </c>
    </row>
    <row r="522" spans="1:18" ht="15.3" x14ac:dyDescent="0.55000000000000004">
      <c r="A522" s="114" t="s">
        <v>289</v>
      </c>
      <c r="B522" s="115" t="s">
        <v>290</v>
      </c>
      <c r="C522" s="116" t="s">
        <v>215</v>
      </c>
      <c r="D522" s="114" t="s">
        <v>59</v>
      </c>
      <c r="E522" s="114" t="s">
        <v>44</v>
      </c>
      <c r="F522" s="114" t="s">
        <v>60</v>
      </c>
      <c r="G522" s="117">
        <v>42306</v>
      </c>
      <c r="H522" s="118">
        <v>57.45</v>
      </c>
      <c r="I522" s="118">
        <v>32.75</v>
      </c>
      <c r="J522" s="119">
        <v>0.57010000000000005</v>
      </c>
      <c r="K522" s="120">
        <v>21.98</v>
      </c>
      <c r="L522" s="119">
        <v>1.6500000000000001E-2</v>
      </c>
      <c r="M522" s="120">
        <v>0.7</v>
      </c>
      <c r="N522" s="120">
        <v>1.44</v>
      </c>
      <c r="O522" s="118">
        <v>-0.45</v>
      </c>
      <c r="P522" s="119">
        <v>6.7400000000000002E-2</v>
      </c>
      <c r="Q522" s="120">
        <v>5</v>
      </c>
      <c r="R522" s="118">
        <v>20.54</v>
      </c>
    </row>
    <row r="523" spans="1:18" ht="15.3" x14ac:dyDescent="0.55000000000000004">
      <c r="A523" s="114" t="s">
        <v>624</v>
      </c>
      <c r="B523" s="115" t="s">
        <v>625</v>
      </c>
      <c r="C523" s="116" t="s">
        <v>479</v>
      </c>
      <c r="D523" s="114" t="s">
        <v>249</v>
      </c>
      <c r="E523" s="114" t="s">
        <v>44</v>
      </c>
      <c r="F523" s="114" t="s">
        <v>250</v>
      </c>
      <c r="G523" s="117">
        <v>42222</v>
      </c>
      <c r="H523" s="118">
        <v>225.65</v>
      </c>
      <c r="I523" s="118">
        <v>158.82</v>
      </c>
      <c r="J523" s="119">
        <v>0.70379999999999998</v>
      </c>
      <c r="K523" s="120">
        <v>17.399999999999999</v>
      </c>
      <c r="L523" s="119">
        <v>2.2700000000000001E-2</v>
      </c>
      <c r="M523" s="120">
        <v>1.7</v>
      </c>
      <c r="N523" s="120">
        <v>1.01</v>
      </c>
      <c r="O523" s="118">
        <v>-83.86</v>
      </c>
      <c r="P523" s="119">
        <v>4.4499999999999998E-2</v>
      </c>
      <c r="Q523" s="114"/>
      <c r="R523" s="114"/>
    </row>
    <row r="524" spans="1:18" ht="15.3" x14ac:dyDescent="0.55000000000000004">
      <c r="A524" s="114" t="s">
        <v>825</v>
      </c>
      <c r="B524" s="115" t="s">
        <v>826</v>
      </c>
      <c r="C524" s="116" t="s">
        <v>43</v>
      </c>
      <c r="D524" s="114" t="s">
        <v>249</v>
      </c>
      <c r="E524" s="114" t="s">
        <v>80</v>
      </c>
      <c r="F524" s="114" t="s">
        <v>377</v>
      </c>
      <c r="G524" s="117">
        <v>42178</v>
      </c>
      <c r="H524" s="118">
        <v>0</v>
      </c>
      <c r="I524" s="118">
        <v>7.75</v>
      </c>
      <c r="J524" s="114" t="s">
        <v>48</v>
      </c>
      <c r="K524" s="114" t="s">
        <v>48</v>
      </c>
      <c r="L524" s="119">
        <v>7.7399999999999997E-2</v>
      </c>
      <c r="M524" s="120">
        <v>0.4</v>
      </c>
      <c r="N524" s="120">
        <v>0.79</v>
      </c>
      <c r="O524" s="118">
        <v>-114.58</v>
      </c>
      <c r="P524" s="119">
        <v>-0.1472</v>
      </c>
      <c r="Q524" s="114"/>
      <c r="R524" s="114"/>
    </row>
    <row r="525" spans="1:18" ht="15.3" x14ac:dyDescent="0.55000000000000004">
      <c r="A525" s="114" t="s">
        <v>1011</v>
      </c>
      <c r="B525" s="115" t="s">
        <v>1012</v>
      </c>
      <c r="C525" s="116" t="s">
        <v>829</v>
      </c>
      <c r="D525" s="114" t="s">
        <v>249</v>
      </c>
      <c r="E525" s="114" t="s">
        <v>80</v>
      </c>
      <c r="F525" s="114" t="s">
        <v>377</v>
      </c>
      <c r="G525" s="117">
        <v>42203</v>
      </c>
      <c r="H525" s="118">
        <v>14.54</v>
      </c>
      <c r="I525" s="118">
        <v>57.08</v>
      </c>
      <c r="J525" s="119">
        <v>3.9257</v>
      </c>
      <c r="K525" s="120">
        <v>28.97</v>
      </c>
      <c r="L525" s="119">
        <v>2.7E-2</v>
      </c>
      <c r="M525" s="120">
        <v>0.6</v>
      </c>
      <c r="N525" s="120">
        <v>1.1499999999999999</v>
      </c>
      <c r="O525" s="118">
        <v>-27.31</v>
      </c>
      <c r="P525" s="119">
        <v>0.1024</v>
      </c>
      <c r="Q525" s="114"/>
      <c r="R525" s="114"/>
    </row>
    <row r="526" spans="1:18" ht="15.3" x14ac:dyDescent="0.55000000000000004">
      <c r="A526" s="114" t="s">
        <v>626</v>
      </c>
      <c r="B526" s="115" t="s">
        <v>627</v>
      </c>
      <c r="C526" s="116" t="s">
        <v>479</v>
      </c>
      <c r="D526" s="114" t="s">
        <v>249</v>
      </c>
      <c r="E526" s="114" t="s">
        <v>44</v>
      </c>
      <c r="F526" s="114" t="s">
        <v>250</v>
      </c>
      <c r="G526" s="117">
        <v>42037</v>
      </c>
      <c r="H526" s="118">
        <v>24.95</v>
      </c>
      <c r="I526" s="118">
        <v>17.13</v>
      </c>
      <c r="J526" s="119">
        <v>0.68659999999999999</v>
      </c>
      <c r="K526" s="120">
        <v>26.35</v>
      </c>
      <c r="L526" s="119">
        <v>0.14940000000000001</v>
      </c>
      <c r="M526" s="120">
        <v>1.5</v>
      </c>
      <c r="N526" s="120">
        <v>0.65</v>
      </c>
      <c r="O526" s="118">
        <v>-51.56</v>
      </c>
      <c r="P526" s="119">
        <v>8.9300000000000004E-2</v>
      </c>
      <c r="Q526" s="114"/>
      <c r="R526" s="114"/>
    </row>
    <row r="527" spans="1:18" ht="15.3" x14ac:dyDescent="0.55000000000000004">
      <c r="A527" s="114" t="s">
        <v>133</v>
      </c>
      <c r="B527" s="115" t="s">
        <v>134</v>
      </c>
      <c r="C527" s="116" t="s">
        <v>79</v>
      </c>
      <c r="D527" s="114" t="s">
        <v>43</v>
      </c>
      <c r="E527" s="114" t="s">
        <v>98</v>
      </c>
      <c r="F527" s="114" t="s">
        <v>132</v>
      </c>
      <c r="G527" s="117">
        <v>42326</v>
      </c>
      <c r="H527" s="118">
        <v>63.07</v>
      </c>
      <c r="I527" s="118">
        <v>66.17</v>
      </c>
      <c r="J527" s="119">
        <v>1.0491999999999999</v>
      </c>
      <c r="K527" s="120">
        <v>13.93</v>
      </c>
      <c r="L527" s="119">
        <v>3.0200000000000001E-2</v>
      </c>
      <c r="M527" s="120">
        <v>0.2</v>
      </c>
      <c r="N527" s="120">
        <v>0.89</v>
      </c>
      <c r="O527" s="118">
        <v>-19.07</v>
      </c>
      <c r="P527" s="119">
        <v>2.7199999999999998E-2</v>
      </c>
      <c r="Q527" s="120">
        <v>20</v>
      </c>
      <c r="R527" s="118">
        <v>49.17</v>
      </c>
    </row>
    <row r="528" spans="1:18" ht="15.3" x14ac:dyDescent="0.55000000000000004">
      <c r="A528" s="114" t="s">
        <v>135</v>
      </c>
      <c r="B528" s="115" t="s">
        <v>136</v>
      </c>
      <c r="C528" s="116" t="s">
        <v>79</v>
      </c>
      <c r="D528" s="114" t="s">
        <v>59</v>
      </c>
      <c r="E528" s="114" t="s">
        <v>44</v>
      </c>
      <c r="F528" s="114" t="s">
        <v>60</v>
      </c>
      <c r="G528" s="117">
        <v>42306</v>
      </c>
      <c r="H528" s="118">
        <v>153.41</v>
      </c>
      <c r="I528" s="118">
        <v>26.48</v>
      </c>
      <c r="J528" s="119">
        <v>0.1726</v>
      </c>
      <c r="K528" s="120">
        <v>6.65</v>
      </c>
      <c r="L528" s="119">
        <v>5.74E-2</v>
      </c>
      <c r="M528" s="120">
        <v>1.8</v>
      </c>
      <c r="N528" s="120">
        <v>2.04</v>
      </c>
      <c r="O528" s="118">
        <v>-27.11</v>
      </c>
      <c r="P528" s="119">
        <v>-9.1999999999999998E-3</v>
      </c>
      <c r="Q528" s="120">
        <v>4</v>
      </c>
      <c r="R528" s="118">
        <v>34.85</v>
      </c>
    </row>
    <row r="529" spans="1:18" ht="15.3" x14ac:dyDescent="0.55000000000000004">
      <c r="A529" s="114" t="s">
        <v>1143</v>
      </c>
      <c r="B529" s="115" t="s">
        <v>1144</v>
      </c>
      <c r="C529" s="116" t="s">
        <v>98</v>
      </c>
      <c r="D529" s="114" t="s">
        <v>249</v>
      </c>
      <c r="E529" s="114" t="s">
        <v>80</v>
      </c>
      <c r="F529" s="114" t="s">
        <v>377</v>
      </c>
      <c r="G529" s="117">
        <v>42214</v>
      </c>
      <c r="H529" s="118">
        <v>0</v>
      </c>
      <c r="I529" s="118">
        <v>4.79</v>
      </c>
      <c r="J529" s="114" t="s">
        <v>48</v>
      </c>
      <c r="K529" s="114" t="s">
        <v>48</v>
      </c>
      <c r="L529" s="114" t="s">
        <v>48</v>
      </c>
      <c r="M529" s="120">
        <v>1.5</v>
      </c>
      <c r="N529" s="120">
        <v>1.3</v>
      </c>
      <c r="O529" s="118">
        <v>-12.76</v>
      </c>
      <c r="P529" s="119">
        <v>-6.0499999999999998E-2</v>
      </c>
      <c r="Q529" s="114"/>
      <c r="R529" s="114"/>
    </row>
    <row r="530" spans="1:18" ht="15.3" x14ac:dyDescent="0.55000000000000004">
      <c r="A530" s="114" t="s">
        <v>1013</v>
      </c>
      <c r="B530" s="115" t="s">
        <v>1014</v>
      </c>
      <c r="C530" s="116" t="s">
        <v>829</v>
      </c>
      <c r="D530" s="114" t="s">
        <v>249</v>
      </c>
      <c r="E530" s="114" t="s">
        <v>80</v>
      </c>
      <c r="F530" s="114" t="s">
        <v>377</v>
      </c>
      <c r="G530" s="117">
        <v>42213</v>
      </c>
      <c r="H530" s="118">
        <v>34.99</v>
      </c>
      <c r="I530" s="118">
        <v>42.7</v>
      </c>
      <c r="J530" s="119">
        <v>1.2202999999999999</v>
      </c>
      <c r="K530" s="120">
        <v>19.23</v>
      </c>
      <c r="L530" s="119">
        <v>3.3700000000000001E-2</v>
      </c>
      <c r="M530" s="120">
        <v>0.2</v>
      </c>
      <c r="N530" s="120">
        <v>0.65</v>
      </c>
      <c r="O530" s="118">
        <v>-47.43</v>
      </c>
      <c r="P530" s="119">
        <v>5.3699999999999998E-2</v>
      </c>
      <c r="Q530" s="114"/>
      <c r="R530" s="114"/>
    </row>
    <row r="531" spans="1:18" ht="15.3" x14ac:dyDescent="0.55000000000000004">
      <c r="A531" s="114" t="s">
        <v>75</v>
      </c>
      <c r="B531" s="115" t="s">
        <v>76</v>
      </c>
      <c r="C531" s="116" t="s">
        <v>42</v>
      </c>
      <c r="D531" s="114" t="s">
        <v>43</v>
      </c>
      <c r="E531" s="114" t="s">
        <v>44</v>
      </c>
      <c r="F531" s="114" t="s">
        <v>45</v>
      </c>
      <c r="G531" s="117">
        <v>42395</v>
      </c>
      <c r="H531" s="118">
        <v>93.49</v>
      </c>
      <c r="I531" s="118">
        <v>36.9</v>
      </c>
      <c r="J531" s="119">
        <v>0.3947</v>
      </c>
      <c r="K531" s="120">
        <v>11.25</v>
      </c>
      <c r="L531" s="119">
        <v>4.07E-2</v>
      </c>
      <c r="M531" s="121" t="e">
        <v>#N/A</v>
      </c>
      <c r="N531" s="120">
        <v>1.92</v>
      </c>
      <c r="O531" s="118">
        <v>-36</v>
      </c>
      <c r="P531" s="119">
        <v>1.38E-2</v>
      </c>
      <c r="Q531" s="120">
        <v>4</v>
      </c>
      <c r="R531" s="118">
        <v>56.96</v>
      </c>
    </row>
    <row r="532" spans="1:18" ht="15.3" x14ac:dyDescent="0.55000000000000004">
      <c r="A532" s="114" t="s">
        <v>628</v>
      </c>
      <c r="B532" s="115" t="s">
        <v>629</v>
      </c>
      <c r="C532" s="116" t="s">
        <v>479</v>
      </c>
      <c r="D532" s="114" t="s">
        <v>249</v>
      </c>
      <c r="E532" s="114" t="s">
        <v>98</v>
      </c>
      <c r="F532" s="114" t="s">
        <v>412</v>
      </c>
      <c r="G532" s="117">
        <v>42222</v>
      </c>
      <c r="H532" s="118">
        <v>17.329999999999998</v>
      </c>
      <c r="I532" s="118">
        <v>18.46</v>
      </c>
      <c r="J532" s="119">
        <v>1.0651999999999999</v>
      </c>
      <c r="K532" s="120">
        <v>11.68</v>
      </c>
      <c r="L532" s="119">
        <v>3.4700000000000002E-2</v>
      </c>
      <c r="M532" s="120">
        <v>1.3</v>
      </c>
      <c r="N532" s="120">
        <v>1.1200000000000001</v>
      </c>
      <c r="O532" s="118">
        <v>-6.99</v>
      </c>
      <c r="P532" s="119">
        <v>1.5900000000000001E-2</v>
      </c>
      <c r="Q532" s="114"/>
      <c r="R532" s="114"/>
    </row>
    <row r="533" spans="1:18" ht="15.3" x14ac:dyDescent="0.55000000000000004">
      <c r="A533" s="114" t="s">
        <v>702</v>
      </c>
      <c r="B533" s="115" t="s">
        <v>703</v>
      </c>
      <c r="C533" s="116" t="s">
        <v>634</v>
      </c>
      <c r="D533" s="114" t="s">
        <v>43</v>
      </c>
      <c r="E533" s="114" t="s">
        <v>80</v>
      </c>
      <c r="F533" s="114" t="s">
        <v>145</v>
      </c>
      <c r="G533" s="117">
        <v>42271</v>
      </c>
      <c r="H533" s="118">
        <v>17.11</v>
      </c>
      <c r="I533" s="118">
        <v>19.96</v>
      </c>
      <c r="J533" s="119">
        <v>1.1666000000000001</v>
      </c>
      <c r="K533" s="120">
        <v>16.63</v>
      </c>
      <c r="L533" s="119">
        <v>1.2E-2</v>
      </c>
      <c r="M533" s="120">
        <v>0.8</v>
      </c>
      <c r="N533" s="120">
        <v>2.83</v>
      </c>
      <c r="O533" s="118">
        <v>-4.45</v>
      </c>
      <c r="P533" s="119">
        <v>4.07E-2</v>
      </c>
      <c r="Q533" s="120">
        <v>2</v>
      </c>
      <c r="R533" s="118">
        <v>17.309999999999999</v>
      </c>
    </row>
    <row r="534" spans="1:18" ht="15.3" x14ac:dyDescent="0.55000000000000004">
      <c r="A534" s="114" t="s">
        <v>209</v>
      </c>
      <c r="B534" s="115" t="s">
        <v>210</v>
      </c>
      <c r="C534" s="116" t="s">
        <v>142</v>
      </c>
      <c r="D534" s="114" t="s">
        <v>59</v>
      </c>
      <c r="E534" s="114" t="s">
        <v>44</v>
      </c>
      <c r="F534" s="114" t="s">
        <v>60</v>
      </c>
      <c r="G534" s="117">
        <v>42324</v>
      </c>
      <c r="H534" s="118">
        <v>44.63</v>
      </c>
      <c r="I534" s="118">
        <v>27.06</v>
      </c>
      <c r="J534" s="119">
        <v>0.60629999999999995</v>
      </c>
      <c r="K534" s="120">
        <v>17.920000000000002</v>
      </c>
      <c r="L534" s="119">
        <v>4.58E-2</v>
      </c>
      <c r="M534" s="120">
        <v>1.3</v>
      </c>
      <c r="N534" s="120">
        <v>2.79</v>
      </c>
      <c r="O534" s="118">
        <v>-10.52</v>
      </c>
      <c r="P534" s="119">
        <v>4.7100000000000003E-2</v>
      </c>
      <c r="Q534" s="120">
        <v>5</v>
      </c>
      <c r="R534" s="118">
        <v>14.78</v>
      </c>
    </row>
    <row r="535" spans="1:18" ht="15.3" x14ac:dyDescent="0.55000000000000004">
      <c r="A535" s="114" t="s">
        <v>465</v>
      </c>
      <c r="B535" s="115" t="s">
        <v>466</v>
      </c>
      <c r="C535" s="116" t="s">
        <v>304</v>
      </c>
      <c r="D535" s="114" t="s">
        <v>249</v>
      </c>
      <c r="E535" s="114" t="s">
        <v>44</v>
      </c>
      <c r="F535" s="114" t="s">
        <v>250</v>
      </c>
      <c r="G535" s="117">
        <v>42237</v>
      </c>
      <c r="H535" s="118">
        <v>150.94999999999999</v>
      </c>
      <c r="I535" s="118">
        <v>75.03</v>
      </c>
      <c r="J535" s="119">
        <v>0.49709999999999999</v>
      </c>
      <c r="K535" s="120">
        <v>19.14</v>
      </c>
      <c r="L535" s="119">
        <v>2.6700000000000002E-2</v>
      </c>
      <c r="M535" s="120">
        <v>1.3</v>
      </c>
      <c r="N535" s="120">
        <v>1</v>
      </c>
      <c r="O535" s="118">
        <v>-56.62</v>
      </c>
      <c r="P535" s="119">
        <v>5.3199999999999997E-2</v>
      </c>
      <c r="Q535" s="120">
        <v>6</v>
      </c>
      <c r="R535" s="114"/>
    </row>
    <row r="536" spans="1:18" ht="15.3" x14ac:dyDescent="0.55000000000000004">
      <c r="A536" s="114" t="s">
        <v>291</v>
      </c>
      <c r="B536" s="115" t="s">
        <v>292</v>
      </c>
      <c r="C536" s="116" t="s">
        <v>215</v>
      </c>
      <c r="D536" s="114" t="s">
        <v>59</v>
      </c>
      <c r="E536" s="114" t="s">
        <v>44</v>
      </c>
      <c r="F536" s="114" t="s">
        <v>60</v>
      </c>
      <c r="G536" s="117">
        <v>42409</v>
      </c>
      <c r="H536" s="118">
        <v>175.4</v>
      </c>
      <c r="I536" s="118">
        <v>85</v>
      </c>
      <c r="J536" s="119">
        <v>0.48459999999999998</v>
      </c>
      <c r="K536" s="120">
        <v>18.010000000000002</v>
      </c>
      <c r="L536" s="119">
        <v>2.35E-2</v>
      </c>
      <c r="M536" s="120">
        <v>1.8</v>
      </c>
      <c r="N536" s="120">
        <v>2.11</v>
      </c>
      <c r="O536" s="118">
        <v>-76.88</v>
      </c>
      <c r="P536" s="119">
        <v>4.7500000000000001E-2</v>
      </c>
      <c r="Q536" s="120">
        <v>0</v>
      </c>
      <c r="R536" s="114" t="s">
        <v>48</v>
      </c>
    </row>
    <row r="537" spans="1:18" ht="15.3" x14ac:dyDescent="0.55000000000000004">
      <c r="A537" s="114" t="s">
        <v>1145</v>
      </c>
      <c r="B537" s="115" t="s">
        <v>1146</v>
      </c>
      <c r="C537" s="116" t="s">
        <v>98</v>
      </c>
      <c r="D537" s="114" t="s">
        <v>249</v>
      </c>
      <c r="E537" s="114" t="s">
        <v>80</v>
      </c>
      <c r="F537" s="114" t="s">
        <v>377</v>
      </c>
      <c r="G537" s="117">
        <v>42051</v>
      </c>
      <c r="H537" s="118">
        <v>0</v>
      </c>
      <c r="I537" s="118">
        <v>11.35</v>
      </c>
      <c r="J537" s="114" t="s">
        <v>48</v>
      </c>
      <c r="K537" s="114" t="s">
        <v>48</v>
      </c>
      <c r="L537" s="119">
        <v>1.7600000000000001E-2</v>
      </c>
      <c r="M537" s="120">
        <v>1.8</v>
      </c>
      <c r="N537" s="120">
        <v>1.8</v>
      </c>
      <c r="O537" s="118">
        <v>-13.84</v>
      </c>
      <c r="P537" s="119">
        <v>-5.9700000000000003E-2</v>
      </c>
      <c r="Q537" s="114"/>
      <c r="R537" s="114"/>
    </row>
    <row r="538" spans="1:18" ht="15.3" x14ac:dyDescent="0.55000000000000004">
      <c r="A538" s="114" t="s">
        <v>293</v>
      </c>
      <c r="B538" s="115" t="s">
        <v>294</v>
      </c>
      <c r="C538" s="116" t="s">
        <v>215</v>
      </c>
      <c r="D538" s="114" t="s">
        <v>43</v>
      </c>
      <c r="E538" s="114" t="s">
        <v>80</v>
      </c>
      <c r="F538" s="114" t="s">
        <v>145</v>
      </c>
      <c r="G538" s="117">
        <v>42270</v>
      </c>
      <c r="H538" s="118">
        <v>24.22</v>
      </c>
      <c r="I538" s="118">
        <v>39.590000000000003</v>
      </c>
      <c r="J538" s="119">
        <v>1.6346000000000001</v>
      </c>
      <c r="K538" s="120">
        <v>21.63</v>
      </c>
      <c r="L538" s="119">
        <v>3.44E-2</v>
      </c>
      <c r="M538" s="120">
        <v>0.1</v>
      </c>
      <c r="N538" s="120">
        <v>0.86</v>
      </c>
      <c r="O538" s="118">
        <v>-47.14</v>
      </c>
      <c r="P538" s="119">
        <v>6.5699999999999995E-2</v>
      </c>
      <c r="Q538" s="120">
        <v>12</v>
      </c>
      <c r="R538" s="118">
        <v>27.43</v>
      </c>
    </row>
    <row r="539" spans="1:18" ht="15.3" x14ac:dyDescent="0.55000000000000004">
      <c r="A539" s="114" t="s">
        <v>630</v>
      </c>
      <c r="B539" s="115" t="s">
        <v>631</v>
      </c>
      <c r="C539" s="116" t="s">
        <v>479</v>
      </c>
      <c r="D539" s="114" t="s">
        <v>249</v>
      </c>
      <c r="E539" s="114" t="s">
        <v>44</v>
      </c>
      <c r="F539" s="114" t="s">
        <v>250</v>
      </c>
      <c r="G539" s="117">
        <v>42093</v>
      </c>
      <c r="H539" s="118">
        <v>64.319999999999993</v>
      </c>
      <c r="I539" s="118">
        <v>35.92</v>
      </c>
      <c r="J539" s="119">
        <v>0.5585</v>
      </c>
      <c r="K539" s="120">
        <v>21.51</v>
      </c>
      <c r="L539" s="119">
        <v>2.23E-2</v>
      </c>
      <c r="M539" s="120">
        <v>1</v>
      </c>
      <c r="N539" s="114" t="s">
        <v>48</v>
      </c>
      <c r="O539" s="114" t="s">
        <v>48</v>
      </c>
      <c r="P539" s="119">
        <v>6.5000000000000002E-2</v>
      </c>
      <c r="Q539" s="114"/>
      <c r="R539" s="114"/>
    </row>
    <row r="540" spans="1:18" ht="15.3" x14ac:dyDescent="0.55000000000000004">
      <c r="A540" s="114" t="s">
        <v>467</v>
      </c>
      <c r="B540" s="115" t="s">
        <v>468</v>
      </c>
      <c r="C540" s="116" t="s">
        <v>304</v>
      </c>
      <c r="D540" s="114" t="s">
        <v>59</v>
      </c>
      <c r="E540" s="114" t="s">
        <v>80</v>
      </c>
      <c r="F540" s="114" t="s">
        <v>81</v>
      </c>
      <c r="G540" s="117">
        <v>42411</v>
      </c>
      <c r="H540" s="118">
        <v>28.54</v>
      </c>
      <c r="I540" s="118">
        <v>48.16</v>
      </c>
      <c r="J540" s="119">
        <v>1.6875</v>
      </c>
      <c r="K540" s="120">
        <v>22.82</v>
      </c>
      <c r="L540" s="119">
        <v>2.5700000000000001E-2</v>
      </c>
      <c r="M540" s="120">
        <v>1.3</v>
      </c>
      <c r="N540" s="120">
        <v>4.3</v>
      </c>
      <c r="O540" s="118">
        <v>6.3</v>
      </c>
      <c r="P540" s="119">
        <v>7.1599999999999997E-2</v>
      </c>
      <c r="Q540" s="120">
        <v>12</v>
      </c>
      <c r="R540" s="118">
        <v>21.4</v>
      </c>
    </row>
    <row r="541" spans="1:18" ht="15.3" x14ac:dyDescent="0.55000000000000004">
      <c r="A541" s="114" t="s">
        <v>1015</v>
      </c>
      <c r="B541" s="115" t="s">
        <v>1016</v>
      </c>
      <c r="C541" s="116" t="s">
        <v>829</v>
      </c>
      <c r="D541" s="114" t="s">
        <v>249</v>
      </c>
      <c r="E541" s="114" t="s">
        <v>80</v>
      </c>
      <c r="F541" s="114" t="s">
        <v>377</v>
      </c>
      <c r="G541" s="117">
        <v>42159</v>
      </c>
      <c r="H541" s="118">
        <v>42.51</v>
      </c>
      <c r="I541" s="118">
        <v>82.7</v>
      </c>
      <c r="J541" s="119">
        <v>1.9454</v>
      </c>
      <c r="K541" s="120">
        <v>12.8</v>
      </c>
      <c r="L541" s="119">
        <v>3.5299999999999998E-2</v>
      </c>
      <c r="M541" s="120">
        <v>0.9</v>
      </c>
      <c r="N541" s="120">
        <v>0.91</v>
      </c>
      <c r="O541" s="118">
        <v>-28.75</v>
      </c>
      <c r="P541" s="119">
        <v>2.1499999999999998E-2</v>
      </c>
      <c r="Q541" s="114"/>
      <c r="R541" s="114"/>
    </row>
    <row r="542" spans="1:18" ht="15.3" x14ac:dyDescent="0.55000000000000004">
      <c r="A542" s="114" t="s">
        <v>1147</v>
      </c>
      <c r="B542" s="115" t="s">
        <v>1148</v>
      </c>
      <c r="C542" s="116" t="s">
        <v>98</v>
      </c>
      <c r="D542" s="114" t="s">
        <v>249</v>
      </c>
      <c r="E542" s="114" t="s">
        <v>80</v>
      </c>
      <c r="F542" s="114" t="s">
        <v>377</v>
      </c>
      <c r="G542" s="117">
        <v>42327</v>
      </c>
      <c r="H542" s="118">
        <v>28.88</v>
      </c>
      <c r="I542" s="118">
        <v>60.2</v>
      </c>
      <c r="J542" s="119">
        <v>2.0844999999999998</v>
      </c>
      <c r="K542" s="120">
        <v>28.8</v>
      </c>
      <c r="L542" s="119">
        <v>4.7999999999999996E-3</v>
      </c>
      <c r="M542" s="120">
        <v>1.4</v>
      </c>
      <c r="N542" s="120">
        <v>1.29</v>
      </c>
      <c r="O542" s="118">
        <v>-6.42</v>
      </c>
      <c r="P542" s="119">
        <v>0.10150000000000001</v>
      </c>
      <c r="Q542" s="120">
        <v>5</v>
      </c>
      <c r="R542" s="118">
        <v>26.96</v>
      </c>
    </row>
    <row r="543" spans="1:18" ht="15.3" x14ac:dyDescent="0.55000000000000004">
      <c r="A543" s="114" t="s">
        <v>469</v>
      </c>
      <c r="B543" s="115" t="s">
        <v>470</v>
      </c>
      <c r="C543" s="116" t="s">
        <v>304</v>
      </c>
      <c r="D543" s="114" t="s">
        <v>249</v>
      </c>
      <c r="E543" s="114" t="s">
        <v>44</v>
      </c>
      <c r="F543" s="114" t="s">
        <v>250</v>
      </c>
      <c r="G543" s="117">
        <v>42023</v>
      </c>
      <c r="H543" s="118">
        <v>24.64</v>
      </c>
      <c r="I543" s="118">
        <v>10.199999999999999</v>
      </c>
      <c r="J543" s="119">
        <v>0.41399999999999998</v>
      </c>
      <c r="K543" s="120">
        <v>10.97</v>
      </c>
      <c r="L543" s="119">
        <v>3.04E-2</v>
      </c>
      <c r="M543" s="120">
        <v>1.3</v>
      </c>
      <c r="N543" s="120">
        <v>1.38</v>
      </c>
      <c r="O543" s="118">
        <v>-7.13</v>
      </c>
      <c r="P543" s="119">
        <v>1.23E-2</v>
      </c>
      <c r="Q543" s="114"/>
      <c r="R543" s="114"/>
    </row>
    <row r="544" spans="1:18" ht="15.3" x14ac:dyDescent="0.55000000000000004">
      <c r="A544" s="114" t="s">
        <v>471</v>
      </c>
      <c r="B544" s="115" t="s">
        <v>472</v>
      </c>
      <c r="C544" s="116" t="s">
        <v>304</v>
      </c>
      <c r="D544" s="114" t="s">
        <v>59</v>
      </c>
      <c r="E544" s="114" t="s">
        <v>98</v>
      </c>
      <c r="F544" s="114" t="s">
        <v>150</v>
      </c>
      <c r="G544" s="117">
        <v>42395</v>
      </c>
      <c r="H544" s="118">
        <v>48.38</v>
      </c>
      <c r="I544" s="118">
        <v>38.03</v>
      </c>
      <c r="J544" s="119">
        <v>0.78610000000000002</v>
      </c>
      <c r="K544" s="120">
        <v>23.05</v>
      </c>
      <c r="L544" s="119">
        <v>1.6299999999999999E-2</v>
      </c>
      <c r="M544" s="120">
        <v>1.2</v>
      </c>
      <c r="N544" s="120">
        <v>2.4700000000000002</v>
      </c>
      <c r="O544" s="118">
        <v>-3.22</v>
      </c>
      <c r="P544" s="119">
        <v>7.2700000000000001E-2</v>
      </c>
      <c r="Q544" s="120">
        <v>5</v>
      </c>
      <c r="R544" s="118">
        <v>21.6</v>
      </c>
    </row>
    <row r="545" spans="1:18" ht="15.3" x14ac:dyDescent="0.55000000000000004">
      <c r="A545" s="114" t="s">
        <v>211</v>
      </c>
      <c r="B545" s="115" t="s">
        <v>212</v>
      </c>
      <c r="C545" s="116" t="s">
        <v>142</v>
      </c>
      <c r="D545" s="114" t="s">
        <v>43</v>
      </c>
      <c r="E545" s="114" t="s">
        <v>44</v>
      </c>
      <c r="F545" s="114" t="s">
        <v>45</v>
      </c>
      <c r="G545" s="117">
        <v>42325</v>
      </c>
      <c r="H545" s="118">
        <v>106.93</v>
      </c>
      <c r="I545" s="118">
        <v>32.909999999999997</v>
      </c>
      <c r="J545" s="119">
        <v>0.30780000000000002</v>
      </c>
      <c r="K545" s="120">
        <v>11.84</v>
      </c>
      <c r="L545" s="114" t="s">
        <v>48</v>
      </c>
      <c r="M545" s="120">
        <v>1.5</v>
      </c>
      <c r="N545" s="120">
        <v>5.63</v>
      </c>
      <c r="O545" s="118">
        <v>-5.59</v>
      </c>
      <c r="P545" s="119">
        <v>1.67E-2</v>
      </c>
      <c r="Q545" s="120">
        <v>0</v>
      </c>
      <c r="R545" s="118">
        <v>9.7200000000000006</v>
      </c>
    </row>
    <row r="546" spans="1:18" ht="15.3" x14ac:dyDescent="0.55000000000000004">
      <c r="A546" s="114" t="s">
        <v>1017</v>
      </c>
      <c r="B546" s="115" t="s">
        <v>1018</v>
      </c>
      <c r="C546" s="116" t="s">
        <v>829</v>
      </c>
      <c r="D546" s="114" t="s">
        <v>249</v>
      </c>
      <c r="E546" s="114" t="s">
        <v>80</v>
      </c>
      <c r="F546" s="114" t="s">
        <v>377</v>
      </c>
      <c r="G546" s="117">
        <v>42072</v>
      </c>
      <c r="H546" s="118">
        <v>37.24</v>
      </c>
      <c r="I546" s="118">
        <v>75.41</v>
      </c>
      <c r="J546" s="119">
        <v>2.0249999999999999</v>
      </c>
      <c r="K546" s="120">
        <v>29</v>
      </c>
      <c r="L546" s="119">
        <v>2.4400000000000002E-2</v>
      </c>
      <c r="M546" s="120">
        <v>0.7</v>
      </c>
      <c r="N546" s="120">
        <v>0.68</v>
      </c>
      <c r="O546" s="118">
        <v>-11.53</v>
      </c>
      <c r="P546" s="119">
        <v>0.10249999999999999</v>
      </c>
      <c r="Q546" s="114"/>
      <c r="R546" s="114"/>
    </row>
    <row r="547" spans="1:18" ht="15.3" x14ac:dyDescent="0.55000000000000004">
      <c r="A547" s="114" t="s">
        <v>473</v>
      </c>
      <c r="B547" s="115" t="s">
        <v>474</v>
      </c>
      <c r="C547" s="116" t="s">
        <v>304</v>
      </c>
      <c r="D547" s="114" t="s">
        <v>59</v>
      </c>
      <c r="E547" s="114" t="s">
        <v>80</v>
      </c>
      <c r="F547" s="114" t="s">
        <v>81</v>
      </c>
      <c r="G547" s="117">
        <v>42271</v>
      </c>
      <c r="H547" s="118">
        <v>51.93</v>
      </c>
      <c r="I547" s="118">
        <v>97.44</v>
      </c>
      <c r="J547" s="119">
        <v>1.8764000000000001</v>
      </c>
      <c r="K547" s="120">
        <v>24.18</v>
      </c>
      <c r="L547" s="119">
        <v>9.9000000000000008E-3</v>
      </c>
      <c r="M547" s="120">
        <v>0.9</v>
      </c>
      <c r="N547" s="120">
        <v>3.12</v>
      </c>
      <c r="O547" s="118">
        <v>-59.7</v>
      </c>
      <c r="P547" s="119">
        <v>7.8399999999999997E-2</v>
      </c>
      <c r="Q547" s="120">
        <v>4</v>
      </c>
      <c r="R547" s="118">
        <v>68.89</v>
      </c>
    </row>
    <row r="548" spans="1:18" ht="15.3" x14ac:dyDescent="0.55000000000000004">
      <c r="A548" s="114" t="s">
        <v>1019</v>
      </c>
      <c r="B548" s="115" t="s">
        <v>1020</v>
      </c>
      <c r="C548" s="116" t="s">
        <v>829</v>
      </c>
      <c r="D548" s="114" t="s">
        <v>249</v>
      </c>
      <c r="E548" s="114" t="s">
        <v>44</v>
      </c>
      <c r="F548" s="114" t="s">
        <v>250</v>
      </c>
      <c r="G548" s="117">
        <v>42052</v>
      </c>
      <c r="H548" s="118">
        <v>43.53</v>
      </c>
      <c r="I548" s="118">
        <v>22.83</v>
      </c>
      <c r="J548" s="119">
        <v>0.52449999999999997</v>
      </c>
      <c r="K548" s="120">
        <v>20.2</v>
      </c>
      <c r="L548" s="119">
        <v>1.0500000000000001E-2</v>
      </c>
      <c r="M548" s="120">
        <v>1.7</v>
      </c>
      <c r="N548" s="114" t="s">
        <v>48</v>
      </c>
      <c r="O548" s="114" t="s">
        <v>48</v>
      </c>
      <c r="P548" s="119">
        <v>5.8500000000000003E-2</v>
      </c>
      <c r="Q548" s="114"/>
      <c r="R548" s="114"/>
    </row>
    <row r="549" spans="1:18" ht="15.3" x14ac:dyDescent="0.55000000000000004">
      <c r="A549" s="114" t="s">
        <v>475</v>
      </c>
      <c r="B549" s="115" t="s">
        <v>476</v>
      </c>
      <c r="C549" s="116" t="s">
        <v>304</v>
      </c>
      <c r="D549" s="114" t="s">
        <v>59</v>
      </c>
      <c r="E549" s="114" t="s">
        <v>98</v>
      </c>
      <c r="F549" s="114" t="s">
        <v>150</v>
      </c>
      <c r="G549" s="117">
        <v>42305</v>
      </c>
      <c r="H549" s="118">
        <v>38.76</v>
      </c>
      <c r="I549" s="118">
        <v>41.72</v>
      </c>
      <c r="J549" s="119">
        <v>1.0764</v>
      </c>
      <c r="K549" s="120">
        <v>41.31</v>
      </c>
      <c r="L549" s="119">
        <v>9.1000000000000004E-3</v>
      </c>
      <c r="M549" s="120">
        <v>1</v>
      </c>
      <c r="N549" s="120">
        <v>2.11</v>
      </c>
      <c r="O549" s="118">
        <v>-4.21</v>
      </c>
      <c r="P549" s="119">
        <v>0.16400000000000001</v>
      </c>
      <c r="Q549" s="120">
        <v>3</v>
      </c>
      <c r="R549" s="118">
        <v>7.43</v>
      </c>
    </row>
    <row r="550" spans="1:18" ht="14.7" thickBot="1" x14ac:dyDescent="0.6">
      <c r="A550" s="96"/>
      <c r="B550" s="97"/>
      <c r="C550" s="97"/>
      <c r="D550" s="96"/>
      <c r="E550" s="96"/>
      <c r="F550" s="96"/>
      <c r="G550" s="98"/>
      <c r="H550" s="99"/>
      <c r="I550" s="99"/>
      <c r="J550" s="100"/>
      <c r="K550" s="101"/>
      <c r="L550" s="100"/>
      <c r="M550" s="101"/>
      <c r="N550" s="96"/>
      <c r="O550" s="96"/>
      <c r="P550" s="100"/>
      <c r="Q550" s="96"/>
      <c r="R550" s="96"/>
    </row>
    <row r="551" spans="1:18" ht="14.7" thickBot="1" x14ac:dyDescent="0.6">
      <c r="A551" s="17"/>
      <c r="B551" s="33"/>
      <c r="C551" s="33"/>
      <c r="D551" s="17"/>
      <c r="E551" s="17"/>
      <c r="F551" s="17"/>
      <c r="G551" s="34"/>
      <c r="H551" s="35"/>
      <c r="I551" s="35"/>
      <c r="J551" s="37"/>
      <c r="K551" s="38"/>
      <c r="L551" s="37"/>
      <c r="M551" s="39"/>
      <c r="N551" s="38"/>
      <c r="O551" s="35"/>
      <c r="P551" s="37"/>
      <c r="Q551" s="38"/>
      <c r="R551" s="35"/>
    </row>
    <row r="552" spans="1:18" ht="14.7" thickBot="1" x14ac:dyDescent="0.6">
      <c r="A552" s="96"/>
      <c r="B552" s="97"/>
      <c r="C552" s="97"/>
      <c r="D552" s="96"/>
      <c r="E552" s="96"/>
      <c r="F552" s="96"/>
      <c r="G552" s="98"/>
      <c r="H552" s="99"/>
      <c r="I552" s="99"/>
      <c r="J552" s="100"/>
      <c r="K552" s="101"/>
      <c r="L552" s="102"/>
      <c r="M552" s="102"/>
      <c r="N552" s="101"/>
      <c r="O552" s="99"/>
      <c r="P552" s="100"/>
      <c r="Q552" s="101"/>
      <c r="R552" s="99"/>
    </row>
    <row r="553" spans="1:18" ht="14.7" thickBot="1" x14ac:dyDescent="0.6">
      <c r="A553" s="17"/>
      <c r="B553" s="33"/>
      <c r="C553" s="33"/>
      <c r="D553" s="17"/>
      <c r="E553" s="17"/>
      <c r="F553" s="17"/>
      <c r="G553" s="34"/>
      <c r="H553" s="35"/>
      <c r="I553" s="35"/>
      <c r="J553" s="37"/>
      <c r="K553" s="38"/>
      <c r="L553" s="37"/>
      <c r="M553" s="38"/>
      <c r="N553" s="38"/>
      <c r="O553" s="35"/>
      <c r="P553" s="37"/>
      <c r="Q553" s="38"/>
      <c r="R553" s="35"/>
    </row>
    <row r="554" spans="1:18" ht="14.7" thickBot="1" x14ac:dyDescent="0.6">
      <c r="A554" s="17"/>
      <c r="B554" s="33"/>
      <c r="C554" s="33"/>
      <c r="D554" s="17"/>
      <c r="E554" s="17"/>
      <c r="F554" s="17"/>
      <c r="G554" s="34"/>
      <c r="H554" s="35"/>
      <c r="I554" s="35"/>
      <c r="J554" s="37"/>
      <c r="K554" s="38"/>
      <c r="L554" s="37"/>
      <c r="M554" s="38"/>
      <c r="N554" s="17"/>
      <c r="O554" s="17"/>
      <c r="P554" s="37"/>
      <c r="Q554" s="17"/>
      <c r="R554" s="17"/>
    </row>
    <row r="555" spans="1:18" ht="14.7" thickBot="1" x14ac:dyDescent="0.6">
      <c r="A555" s="17"/>
      <c r="B555" s="33"/>
      <c r="C555" s="33"/>
      <c r="D555" s="17"/>
      <c r="E555" s="17"/>
      <c r="F555" s="17"/>
      <c r="G555" s="34"/>
      <c r="H555" s="35"/>
      <c r="I555" s="35"/>
      <c r="J555" s="37"/>
      <c r="K555" s="38"/>
      <c r="L555" s="37"/>
      <c r="M555" s="39"/>
      <c r="N555" s="38"/>
      <c r="O555" s="35"/>
      <c r="P555" s="37"/>
      <c r="Q555" s="38"/>
      <c r="R555" s="35"/>
    </row>
    <row r="556" spans="1:18" x14ac:dyDescent="0.55000000000000004">
      <c r="G556" s="3"/>
      <c r="H556" s="4"/>
      <c r="I556" s="4"/>
      <c r="J556" s="5"/>
      <c r="L556" s="5"/>
      <c r="O556" s="4"/>
      <c r="P556" s="5"/>
    </row>
  </sheetData>
  <sheetProtection sort="0" autoFilter="0"/>
  <autoFilter ref="A1:R555">
    <sortState ref="A2:R555">
      <sortCondition ref="A1:A555"/>
    </sortState>
  </autoFilter>
  <hyperlinks>
    <hyperlink ref="B2" r:id="rId1" display="http://www.moderngraham.com/2016/02/11/agilent-technologies-inc-valuation-february-2016/"/>
    <hyperlink ref="B3" r:id="rId2" display="http://www.moderngraham.com/2015/01/24/alcoa-inc-annual-valuation-2015-aa/"/>
    <hyperlink ref="B4" r:id="rId3" display="http://www.moderngraham.com/2015/06/19/american-airlines-group-analysis-2015-initial-coverage-aal/"/>
    <hyperlink ref="B5" r:id="rId4" display="http://www.moderngraham.com/2015/10/29/aarons-inc-valuation-october-2015-update-aan/"/>
    <hyperlink ref="B6" r:id="rId5" display="http://www.moderngraham.com/2015/08/04/advance-auto-parts-inc-analysis-initial-coverage-aap/"/>
    <hyperlink ref="B7" r:id="rId6" display="http://www.moderngraham.com/2016/02/09/apple-inc-valuation-february-2016-aapl/"/>
    <hyperlink ref="B8" r:id="rId7" display="http://www.moderngraham.com/2015/05/20/abbvie-inc-annual-valuation-2015-abbv/"/>
    <hyperlink ref="B9" r:id="rId8" display="http://www.moderngraham.com/2015/04/02/amerisourcebergen-corporation-annual-valuation-2015-abc/"/>
    <hyperlink ref="B10" r:id="rId9" display="http://www.moderngraham.com/2015/03/16/abbott-laboratories-annual-valuation-2015-abt/"/>
    <hyperlink ref="B11" r:id="rId10" display="http://www.moderngraham.com/2015/08/04/american-campus-communities-inc-analysis-initial-coverage-acc/"/>
    <hyperlink ref="B12" r:id="rId11" display="http://www.moderngraham.com/2015/08/04/aci-worldwide-inc-analysis-initial-coverage-aciw/"/>
    <hyperlink ref="B13" r:id="rId12" display="http://www.moderngraham.com/2015/08/04/aecom-analysis-initial-coverage-acm/"/>
    <hyperlink ref="B14" r:id="rId13" display="http://www.moderngraham.com/2016/02/04/accenture-plc-valuation-february-2016-acn/"/>
    <hyperlink ref="B15" r:id="rId14" display="http://www.moderngraham.com/2015/08/05/acxiom-corporation-analysis-initial-coverage-acxm/"/>
    <hyperlink ref="B16" r:id="rId15" display="http://www.moderngraham.com/2015/06/15/adobe-systems-inc-analysis-2015-update-adbe/"/>
    <hyperlink ref="B17" r:id="rId16" display="http://www.moderngraham.com/2016/02/15/analog-devices-inc-stock-valuation-february-2016-adi/"/>
    <hyperlink ref="B18" r:id="rId17" display="http://www.moderngraham.com/2016/02/05/archer-daniels-midland-co-valuation-february-2016-adm/"/>
    <hyperlink ref="B19" r:id="rId18" display="http://www.moderngraham.com/2015/09/25/automatic-data-processing-analysis-september-2015-update-adp/"/>
    <hyperlink ref="B20" r:id="rId19" display="http://www.moderngraham.com/2015/10/05/alliance-data-systems-corporation-analysis-october-2015-update-ads/"/>
    <hyperlink ref="B21" r:id="rId20" display="http://www.moderngraham.com/2015/08/12/autodesk-inc-analysis-august-2015-update-adsk/"/>
    <hyperlink ref="B22" r:id="rId21" display="http://www.moderngraham.com/2015/05/27/adt-stock-analysis-2015-annual-update-adt/"/>
    <hyperlink ref="B23" r:id="rId22" display="http://www.moderngraham.com/2015/06/10/ameren-corporation-analysis-2015-update-aee/"/>
    <hyperlink ref="B24" r:id="rId23" display="http://www.moderngraham.com/2016/02/05/american-eagle-outfitters-valuation-february-2016-aeo/"/>
    <hyperlink ref="B25" r:id="rId24" display="http://www.moderngraham.com/2015/11/19/american-electric-power-co-valuation-november-2015-update-aep/"/>
    <hyperlink ref="B26" r:id="rId25" display="http://www.moderngraham.com/2015/01/23/aes-corporation-annual-valuation-2015-aep/"/>
    <hyperlink ref="B27" r:id="rId26" display="http://www.moderngraham.com/2016/02/01/aetna-inc-valuation-february-2016-update-aet/"/>
    <hyperlink ref="B28" r:id="rId27" display="http://www.moderngraham.com/2016/02/09/american-financial-group-inc-valuation-february-2016-afg/"/>
    <hyperlink ref="B29" r:id="rId28" display="http://www.moderngraham.com/2016/02/04/aflac-inc-valuation-february-2016-afl/"/>
    <hyperlink ref="B30" r:id="rId29" display="http://www.moderngraham.com/2016/02/10/agco-corporation-valuation-february-2016-agco/"/>
    <hyperlink ref="B31" r:id="rId30" display="http://www.moderngraham.com/2015/08/21/allergan-plc-analysis-august-2015-update-agn/"/>
    <hyperlink ref="B32" r:id="rId31" display="http://www.moderngraham.com/2015/08/09/aspen-insurance-holdings-limited-analysis-initial-coverage-ahl/"/>
    <hyperlink ref="B33" r:id="rId32" display="http://www.moderngraham.com/2016/02/16/american-international-group-inc-stock-valuation-february-2016-aig/"/>
    <hyperlink ref="B34" r:id="rId33" display="http://www.moderngraham.com/2015/01/23/apartment-investment-and-management-company-annual-valuation-2015-aiv/"/>
    <hyperlink ref="B35" r:id="rId34" display="http://www.moderngraham.com/2016/02/17/assurant-inc-valuation-february-2016-aiz/"/>
    <hyperlink ref="B36" r:id="rId35" display="http://www.moderngraham.com/2015/08/11/arthur-j-gallagher-company-analysis-initial-coverage-ajg/"/>
    <hyperlink ref="B37" r:id="rId36" display="http://www.moderngraham.com/2016/01/27/akamai-technologies-inc-valuation-january-2016-akam/"/>
    <hyperlink ref="B38" r:id="rId37" display="http://www.moderngraham.com/2015/08/12/akorn-inc-analysis-initial-coverage-akrx/"/>
    <hyperlink ref="B39" r:id="rId38" display="http://www.moderngraham.com/2016/02/19/albemarle-corp-valuation-february-2016-alb/"/>
    <hyperlink ref="B40" r:id="rId39" display="http://www.moderngraham.com/2015/08/12/alexander-baldwin-inc-analysis-initial-coverage-alex/"/>
    <hyperlink ref="B41" r:id="rId40" display="http://www.moderngraham.com/2015/11/12/align-technology-inc-valuation-november-2015-update-algn/"/>
    <hyperlink ref="B42" r:id="rId41" display="http://www.moderngraham.com/2015/08/14/alaska-air-group-inc-analysis-initial-coverage-alk/"/>
    <hyperlink ref="B43" r:id="rId42" display="http://www.moderngraham.com/2015/10/29/allstate-corporation-valuation-october-2015-update-all/"/>
    <hyperlink ref="B44" r:id="rId43" display="http://www.moderngraham.com/2016/02/02/allegion-plc-valuation-february-2016-update-alle/"/>
    <hyperlink ref="B45" r:id="rId44" display="http://www.moderngraham.com/2015/08/12/alexion-pharmaceuticals-inc-analysis-august-2015-update-alxn/"/>
    <hyperlink ref="B46" r:id="rId45" display="http://www.moderngraham.com/2016/02/26/applied-materials-inc-valuation-february-2016-amat/"/>
    <hyperlink ref="B47" r:id="rId46" display="http://www.moderngraham.com/2015/08/15/amc-networks-inc-analysis-initial-coverage-amcx/"/>
    <hyperlink ref="B48" r:id="rId47" display="http://www.moderngraham.com/2015/08/16/advanced-micro-devices-inc-analysis-initial-coverage-amd/"/>
    <hyperlink ref="B49" r:id="rId48" display="http://www.moderngraham.com/2016/02/03/ametek-inc-valuation-february-2016-update-ame/"/>
    <hyperlink ref="B50" r:id="rId49" display="http://www.moderngraham.com/2015/08/28/affiliated-managers-group-analysis-initial-coverage-amg/"/>
    <hyperlink ref="B51" r:id="rId50" display="http://www.moderngraham.com/2016/02/17/amgen-inc-valuation-february-2016-amgn/"/>
    <hyperlink ref="B52" r:id="rId51" display="http://www.moderngraham.com/2015/11/16/ameriprise-financial-inc-valuation-november-2015-update-amp/"/>
    <hyperlink ref="B53" r:id="rId52" display="http://www.moderngraham.com/2015/11/17/american-tower-corp-valuation-november-2015-update-amt/"/>
    <hyperlink ref="B54" r:id="rId53" display="http://www.moderngraham.com/2015/01/24/amazon-com-inc-annual-valuation-2015-amzn/"/>
    <hyperlink ref="B55" r:id="rId54" display="http://www.moderngraham.com/2015/11/25/autonation-inc-valuation-november-2015-update-an/"/>
    <hyperlink ref="B56" r:id="rId55" display="http://www.moderngraham.com/2015/11/19/abercrombie-fitch-co-valuation-november-2015-update-anf/"/>
    <hyperlink ref="B57" r:id="rId56" display="http://www.moderngraham.com/2015/11/19/ansys-inc-valuation-november-2015-update-anss/"/>
    <hyperlink ref="B58" r:id="rId57" display="http://www.moderngraham.com/2016/02/09/anthem-inc-valuation-february-2016-antm/"/>
    <hyperlink ref="B59" r:id="rId58" display="http://www.moderngraham.com/2016/01/27/aon-plc-valuation-january-2016-update-aon/"/>
    <hyperlink ref="B60" r:id="rId59" display="http://www.moderngraham.com/2015/11/24/a-o-smith-corp-valuation-november-2015-update-aos/"/>
    <hyperlink ref="B61" r:id="rId60" display="http://www.moderngraham.com/2016/01/30/apache-corporation-valuation-january-2016-update-apa/"/>
    <hyperlink ref="B62" r:id="rId61" display="http://www.moderngraham.com/2016/01/29/anadarko-petroleum-corp-valuation-january-2016-update-apc/"/>
    <hyperlink ref="B63" r:id="rId62" display="http://www.moderngraham.com/2016/02/09/air-products-chemicals-inc-valuation-february-2016-apd/"/>
    <hyperlink ref="B64" r:id="rId63" display="http://www.moderngraham.com/2016/01/04/amphenol-corporation-valuation-january-2016-update-aph/"/>
    <hyperlink ref="B65" r:id="rId64" display="http://www.moderngraham.com/2015/08/22/apollo-education-group-inc-analysis-initial-coverage-apol/"/>
    <hyperlink ref="B66" r:id="rId65" display="http://www.moderngraham.com/2015/08/23/alexandria-real-estate-equities-inc-analysis-initial-coverage-are/"/>
    <hyperlink ref="B67" r:id="rId66" display="http://www.moderngraham.com/2016/02/15/airgas-inc-stock-valuation-february-2016-arg/"/>
    <hyperlink ref="B68" r:id="rId67" display="http://www.moderngraham.com/2015/07/31/alliance-resource-partners-lp-analysis-initial-coverage-arlp/"/>
    <hyperlink ref="B69" r:id="rId68" display="http://www.moderngraham.com/2015/08/24/arris-group-inc-analysis-initial-coverage-arrs/"/>
    <hyperlink ref="B70" r:id="rId69" display="http://www.moderngraham.com/2015/12/11/arrow-electronics-inc-valuation-december-2015-update-arw/"/>
    <hyperlink ref="B71" r:id="rId70" display="http://www.moderngraham.com/2016/01/07/ashland-inc-valuation-january-2016-update-ash/"/>
    <hyperlink ref="B72" r:id="rId71" display="http://www.moderngraham.com/2015/11/24/allegheny-technologies-inc-valuation-november-2015-update-ati/"/>
    <hyperlink ref="B73" r:id="rId72" display="http://www.moderngraham.com/2014/12/28/avalonbay-communities-inc-annual-valuation-2014-avb/"/>
    <hyperlink ref="B74" r:id="rId73" display="http://www.moderngraham.com/2016/01/07/avago-technologies-ltd-valuation-january-2016-update-avgo/"/>
    <hyperlink ref="B75" r:id="rId74" display="http://www.moderngraham.com/2015/01/24/avon-products-inc-annual-valuation-2015-avp/"/>
    <hyperlink ref="B76" r:id="rId75" display="http://www.moderngraham.com/2015/01/23/avery-dennison-corporation-annual-valuation-2015-avy/"/>
    <hyperlink ref="B77" r:id="rId76" display="http://www.moderngraham.com/2015/10/29/american-express-company-valuation-october-2015-update-axp/"/>
    <hyperlink ref="B78" r:id="rId77" display="http://www.moderngraham.com/2015/01/04/autozone-inc-annual-valuation-2015-azo/"/>
    <hyperlink ref="B79" r:id="rId78" display="http://www.moderngraham.com/2015/11/24/boeing-company-valuation-november-2015-update-ba/"/>
    <hyperlink ref="B80" r:id="rId79" display="http://www.moderngraham.com/2015/01/24/bank-of-america-corporation-annual-valuation-2015-bac/"/>
    <hyperlink ref="B81" r:id="rId80" display="http://www.moderngraham.com/2016/02/09/baxter-international-inc-valuation-february-2016-bax/"/>
    <hyperlink ref="B82" r:id="rId81" display="http://www.moderngraham.com/2015/11/24/bed-bath-beyond-inc-valuation-november-2015-update-bbby/"/>
    <hyperlink ref="B83" r:id="rId82" display="http://www.moderngraham.com/2015/11/16/bbt-corporation-valuation-november-2015-update-bbt/"/>
    <hyperlink ref="B84" r:id="rId83" display="http://www.moderngraham.com/2015/05/27/best-buy-stock-analysis-2015-annual-update-bby/"/>
    <hyperlink ref="B85" r:id="rId84" display="http://www.moderngraham.com/2016/02/17/c-r-bard-inc-stock-valuation-february-2016-bcr/"/>
    <hyperlink ref="B86" r:id="rId85" display="http://www.moderngraham.com/2015/08/19/becton-dickinson-company-analysis-august-2015-update-bdx/"/>
    <hyperlink ref="B87" r:id="rId86" display="http://www.moderngraham.com/2016/01/28/franklin-resources-inc-valuation-january-2016-update-ben/"/>
    <hyperlink ref="B88" r:id="rId87" display="http://www.moderngraham.com/2015/09/25/brown-forman-corporation-analysis-september-2015-update-bfb/"/>
    <hyperlink ref="B89" r:id="rId88" display="http://www.moderngraham.com/2015/09/24/bg-foods-inc-analysis-september-2015-update-bgs/"/>
    <hyperlink ref="B90" r:id="rId89" display="http://www.moderngraham.com/2015/05/26/baker-hughes-stock-analysis-2015-annual-update-bhi/"/>
    <hyperlink ref="B91" r:id="rId90" display="http://www.moderngraham.com/2016/02/02/biogen-inc-valuation-february-2016-update-biib/"/>
    <hyperlink ref="B92" r:id="rId91" display="http://www.moderngraham.com/2016/01/08/bank-of-new-york-mellon-valuation-january-2016-update-bk/"/>
    <hyperlink ref="B93" r:id="rId92" display="http://www.moderngraham.com/2015/11/11/blackrock-inc-valuation-november-2015-update-blk/"/>
    <hyperlink ref="B94" r:id="rId93" display="http://www.moderngraham.com/2015/08/07/ball-corporation-analysis-2015-update-bll/"/>
    <hyperlink ref="B95" r:id="rId94" display="http://www.moderngraham.com/2016/01/28/bemis-co-inc-valuation-january-2016-update-bms/"/>
    <hyperlink ref="B96" r:id="rId95" display="http://www.moderngraham.com/2016/02/18/bristol-myers-squibb-company-valuation-february-2016-bmy/"/>
    <hyperlink ref="B97" r:id="rId96" display="http://www.moderngraham.com/2015/08/19/berkshire-hathaway-analysis-august-2015-update-brkb/"/>
    <hyperlink ref="B98" r:id="rId97" display="http://www.moderngraham.com/2015/09/10/boston-scientific-inc-analysis-september-2015-update-bsx/"/>
    <hyperlink ref="B99" r:id="rId98" display="http://www.moderngraham.com/2015/09/25/peabody-energy-corporation-analysis-september-2015-update-btu/"/>
    <hyperlink ref="B100" r:id="rId99" display="http://www.moderngraham.com/2016/02/03/borgwarner-inc-valuation-february-2016-update-bwa/"/>
    <hyperlink ref="B101" r:id="rId100" display="http://www.moderngraham.com/2015/11/13/boston-properties-inc-valuation-november-2015-update-bxp/"/>
    <hyperlink ref="B102" r:id="rId101" display="http://www.moderngraham.com/2015/12/10/citigroup-inc-valuation-december-2015-update-c/"/>
    <hyperlink ref="B103" r:id="rId102" display="http://www.moderngraham.com/2016/01/29/ca-inc-valuation-january-2016-update-ca/"/>
    <hyperlink ref="B104" r:id="rId103" display="http://www.moderngraham.com/2015/08/15/conagra-foods-inc-analysis-august-2015-update-cag/"/>
    <hyperlink ref="B105" r:id="rId104" display="http://www.moderngraham.com/2015/01/28/cardinal-health-inc-annual-valuation-2015-cah/"/>
    <hyperlink ref="B106" r:id="rId105" display="http://www.moderngraham.com/2015/09/25/cameron-international-company-analysis-september-2015-update-cam/"/>
    <hyperlink ref="B107" r:id="rId106" display="http://www.moderngraham.com/2015/07/22/caterpillar-inc-analysis-2015-update-cat/"/>
    <hyperlink ref="B108" r:id="rId107" display="http://www.moderngraham.com/2016/02/15/chubb-ltd-stock-valuation-february-2016-cb/"/>
    <hyperlink ref="B109" r:id="rId108" display="http://www.moderngraham.com/2015/01/24/cbre-group-inc-annual-valuation-2015-cbg/"/>
    <hyperlink ref="B110" r:id="rId109" display="http://www.moderngraham.com/2015/11/12/cbs-corporation-valuation-november-2015-update-cbs/"/>
    <hyperlink ref="B111" r:id="rId110" display="http://www.moderngraham.com/2015/09/01/coca-cola-enterprises-inc-analysis-september-2015-update-cce/"/>
    <hyperlink ref="B112" r:id="rId111" display="http://www.moderngraham.com/2015/05/07/crown-castle-international-corporation-annual-valuation-2015-cci/"/>
    <hyperlink ref="B113" r:id="rId112" display="http://www.moderngraham.com/2015/04/07/carnival-corporation-annual-valuation-2015-ccl/"/>
    <hyperlink ref="B114" r:id="rId113" display="http://www.moderngraham.com/2015/12/11/celgene-corp-valuation-december-2015-update-celg/"/>
    <hyperlink ref="B115" r:id="rId114" display="http://www.moderngraham.com/2016/02/02/cerner-corporation-valuation-february-2016-update-cern/"/>
    <hyperlink ref="B116" r:id="rId115" display="http://www.moderngraham.com/2015/09/24/cf-industries-holdings-inc-analysis-september-2015-update-cf/"/>
    <hyperlink ref="B117" r:id="rId116" display="http://www.moderngraham.com/2015/01/25/chesapeake-energy-corporation-annual-valuation-2015-chk/"/>
    <hyperlink ref="B118" r:id="rId117" display="http://www.moderngraham.com/2015/07/23/c-h-robinson-worldwide-inc-analysis-2015-update-chrw/"/>
    <hyperlink ref="B119" r:id="rId118" display="http://www.moderngraham.com/2016/01/30/cigna-corp-valuation-january-2016-update-ci/"/>
    <hyperlink ref="B120" r:id="rId119" display="http://www.moderngraham.com/2015/11/06/cincinnati-financial-corp-valuation-november-2015-update-cinf/"/>
    <hyperlink ref="B121" r:id="rId120" display="http://www.moderngraham.com/2016/01/27/colgate-palmolive-co-valuation-january-2016-update-cl/"/>
    <hyperlink ref="B122" r:id="rId121" display="http://www.moderngraham.com/2015/08/24/cliffs-natural-resources-inc-analysis-august-2015-update-clf/"/>
    <hyperlink ref="B123" r:id="rId122" display="http://www.moderngraham.com/2015/09/10/clorox-company-analysis-september-2015-update-clx/"/>
    <hyperlink ref="B124" r:id="rId123" display="http://www.moderngraham.com/2016/02/15/comerica-inc-stock-valuation-february-2016-cma/"/>
    <hyperlink ref="B125" r:id="rId124" display="http://www.moderngraham.com/2015/01/26/comcast-corporation-annual-valuation-2015-cmcsa/"/>
    <hyperlink ref="B126" r:id="rId125" display="http://www.moderngraham.com/2015/10/05/cme-group-inc-analysis-october-2015-update-cme/"/>
    <hyperlink ref="B127" r:id="rId126" display="http://www.moderngraham.com/2016/02/16/chipotle-mexican-grill-inc-stock-valuation-february-2016-cmg/"/>
    <hyperlink ref="B128" r:id="rId127" display="http://www.moderngraham.com/2015/12/11/cummins-inc-valuation-december-2015-update-cmi/"/>
    <hyperlink ref="B129" r:id="rId128" display="http://www.moderngraham.com/2015/02/16/cms-energy-corporation-annual-valuation-2015-cms/"/>
    <hyperlink ref="B130" r:id="rId129" display="http://www.moderngraham.com/2015/03/15/centerpoint-energy-inc-annual-valuation-2015-cnp/"/>
    <hyperlink ref="B131" r:id="rId130" display="http://www.moderngraham.com/2015/11/25/consol-energy-inc-valuation-november-2015-update-cnx/"/>
    <hyperlink ref="B132" r:id="rId131" display="http://www.moderngraham.com/2016/01/29/capital-one-financial-corp-valuation-january-2016-update-cof/"/>
    <hyperlink ref="B133" r:id="rId132" display="http://www.moderngraham.com/2015/12/10/cabot-oil-gas-corp-valuation-december-2015-update-cog/"/>
    <hyperlink ref="B134" r:id="rId133" display="http://www.moderngraham.com/2016/02/02/coach-inc-valuation-february-2016-update-coh/"/>
    <hyperlink ref="B135" r:id="rId134" display="http://www.moderngraham.com/2016/01/08/rockwell-collins-inc-valuation-january-2016-update-col/"/>
    <hyperlink ref="B136" r:id="rId135" display="http://www.moderngraham.com/2015/01/26/conoco-phillips-annual-valuation-2015-cop/"/>
    <hyperlink ref="B137" r:id="rId136" display="http://www.moderngraham.com/2015/01/26/costco-wholesale-corporation-annual-valuation-2015-cost/"/>
    <hyperlink ref="B138" r:id="rId137" display="http://www.moderngraham.com/2015/01/26/campbell-soup-company-annual-valuation-2015-cpb/"/>
    <hyperlink ref="B139" r:id="rId138" display="http://www.moderngraham.com/2016/01/30/salesforce-com-valuation-january-2016-update-crm/"/>
    <hyperlink ref="B140" r:id="rId139" display="http://www.moderngraham.com/2015/01/26/computer-sciences-corporation-annual-valuation-2015-csc/"/>
    <hyperlink ref="B141" r:id="rId140" display="http://www.moderngraham.com/2016/02/05/cisco-systems-inc-valuation-february-2016-csco/"/>
    <hyperlink ref="B142" r:id="rId141" display="http://www.moderngraham.com/2016/02/02/csx-corporation-valuation-february-2016-update-csx/"/>
    <hyperlink ref="B143" r:id="rId142" display="http://www.moderngraham.com/2015/12/10/cintas-corp-valuation-december-2015-update-ctas/"/>
    <hyperlink ref="B144" r:id="rId143" display="http://www.moderngraham.com/2016/02/12/centurylink-inc-valuation-february-2016-ctl/"/>
    <hyperlink ref="B145" r:id="rId144" display="http://www.moderngraham.com/2016/01/28/cognizant-technology-solutions-corp-valuation-january-2016-update-ctsh/"/>
    <hyperlink ref="B146" r:id="rId145" display="http://www.moderngraham.com/2015/01/03/citrix-systems-inc-annual-valuation-2015-ctxs/"/>
    <hyperlink ref="B147" r:id="rId146" display="http://www.moderngraham.com/2015/01/25/cablevision-systems-corporation-annual-valuation-2015-cvc/"/>
    <hyperlink ref="B148" r:id="rId147" display="http://www.moderngraham.com/2015/12/11/cvs-health-corp-valuation-december-2015-update-cvs/"/>
    <hyperlink ref="B149" r:id="rId148" display="http://www.moderngraham.com/2015/06/02/chevron-corporation-analysis-2015-annual-update-cvx/"/>
    <hyperlink ref="B150" r:id="rId149" display="http://www.moderngraham.com/2015/02/10/dominion-resources-inc-annual-valuation-2015-d/"/>
    <hyperlink ref="B151" r:id="rId150" display="http://www.moderngraham.com/2015/02/19/delta-air-lines-inc-annual-valuation-2015-dal/"/>
    <hyperlink ref="B152" r:id="rId151" display="http://www.moderngraham.com/2016/02/26/e-i-du-pont-de-nemours-valuation-february-2016-dd/"/>
    <hyperlink ref="B153" r:id="rId152" display="http://www.moderngraham.com/2016/01/04/deere-company-valuation-january-2016-update-de/"/>
    <hyperlink ref="B154" r:id="rId153" display="http://www.moderngraham.com/2016/02/09/discover-financial-services-valuation-february-2016-dfs/"/>
    <hyperlink ref="B155" r:id="rId154" display="http://www.moderngraham.com/2015/04/01/dollar-general-corporation-annual-valuation-april-2015-dg/"/>
    <hyperlink ref="B156" r:id="rId155" display="http://www.moderngraham.com/2016/01/26/quest-diagnostics-inc-valuation-january-2016-update-dgx/"/>
    <hyperlink ref="B157" r:id="rId156" display="http://www.moderngraham.com/2016/01/27/d-r-horton-inc-valuation-january-2016-update-dhi/"/>
    <hyperlink ref="B158" r:id="rId157" display="http://www.moderngraham.com/2015/11/12/danaher-corporation-valuation-november-2015-update-dhr/"/>
    <hyperlink ref="B159" r:id="rId158" display="http://www.moderngraham.com/2015/12/10/walt-disney-co-valuation-december-2015-update-dis/"/>
    <hyperlink ref="B160" r:id="rId159" display="http://www.moderngraham.com/2015/06/02/discovery-communications-analysis-2015-annual-update-disca/"/>
    <hyperlink ref="B161" r:id="rId160" display="http://www.moderngraham.com/2015/06/02/discovery-communications-analysis-2015-annual-update-disca/"/>
    <hyperlink ref="B162" r:id="rId161" display="http://www.moderngraham.com/2015/06/15/delphi-automotive-analysis-2015-update-dlph/"/>
    <hyperlink ref="B163" r:id="rId162" display="http://www.moderngraham.com/2015/10/15/dollar-tree-stores-inc-valuation-october-2015-update-dltr/"/>
    <hyperlink ref="B164" r:id="rId163" display="http://www.moderngraham.com/2015/09/04/dun-bradstreet-corp-analysis-september-2015-update-dnb/"/>
    <hyperlink ref="B165" r:id="rId164" display="http://www.moderngraham.com/2015/11/09/denbury-resources-inc-valuation-november-2015-update-dnr/"/>
    <hyperlink ref="B166" r:id="rId165" display="http://www.moderngraham.com/2015/02/27/diamond-offshore-drilling-inc-annual-valuation-2015-do/"/>
    <hyperlink ref="B167" r:id="rId166" display="http://www.moderngraham.com/2015/12/11/dover-corp-valuation-december-2015-update-dov/"/>
    <hyperlink ref="B168" r:id="rId167" display="http://www.moderngraham.com/2016/01/28/dow-chemical-co-valuation-january-2016-update-dow/"/>
    <hyperlink ref="B169" r:id="rId168" display="http://www.moderngraham.com/2015/09/11/dr-pepper-snapple-group-inc-analysis-september-2015-update-dps/"/>
    <hyperlink ref="B170" r:id="rId169" display="http://www.moderngraham.com/2015/09/25/darden-restaurants-inc-analysis-september-2015-update-dri/"/>
    <hyperlink ref="B171" r:id="rId170" display="http://www.moderngraham.com/2015/01/24/dte-energy-holding-company-annual-valuation-2015-dte/"/>
    <hyperlink ref="B172" r:id="rId171" display="http://www.moderngraham.com/2015/11/05/duke-energy-corporation-valuation-november-2015-update-duk/"/>
    <hyperlink ref="B173" r:id="rId172" display="http://www.moderngraham.com/2015/11/13/davita-healthcare-partners-inc-valuation-november-2015-update-dva/"/>
    <hyperlink ref="B174" r:id="rId173" display="http://www.moderngraham.com/2015/01/26/devon-energy-corporation-annual-valuation-2015-dvn/"/>
    <hyperlink ref="B175" r:id="rId174" display="http://www.moderngraham.com/2015/01/31/electronic-arts-inc-annual-valuation-2015-ea/"/>
    <hyperlink ref="B176" r:id="rId175" display="http://www.moderngraham.com/2015/08/15/ebay-inc-analysis-august-2015-update-ebay/"/>
    <hyperlink ref="B177" r:id="rId176" display="http://www.moderngraham.com/2015/02/21/ecolab-inc-annual-valuation-2015-ecl/"/>
    <hyperlink ref="B178" r:id="rId177" display="http://www.moderngraham.com/2015/06/12/consolidated-edison-analysis-2015-update-ed/"/>
    <hyperlink ref="B179" r:id="rId178" display="http://www.moderngraham.com/2015/04/04/equifax-inc-annual-valuation-2015-efx/"/>
    <hyperlink ref="B180" r:id="rId179" display="http://www.moderngraham.com/2015/05/10/edison-international-annual-valuation-2015-eix/"/>
    <hyperlink ref="B181" r:id="rId180" display="http://www.moderngraham.com/2015/10/29/the-estee-lauder-company-valuation-october-2015-update-el/"/>
    <hyperlink ref="B182" r:id="rId181" display="http://www.moderngraham.com/2015/09/23/emc-corporation-analysis-september-2015-update-emc/"/>
    <hyperlink ref="B183" r:id="rId182" display="http://www.moderngraham.com/2016/01/28/eastman-chemical-co-valuation-january-2016-emn/"/>
    <hyperlink ref="B184" r:id="rId183" display="http://www.moderngraham.com/2016/02/12/emerson-electric-co-valuation-february-2016-emr/"/>
    <hyperlink ref="B185" r:id="rId184" display="http://www.moderngraham.com/2015/07/15/endo-international-plc-analysis-initial-coverage-endp/"/>
    <hyperlink ref="B186" r:id="rId185" display="http://www.moderngraham.com/2015/06/01/eog-resources-analysis-2015-annual-update-eog/"/>
    <hyperlink ref="B187" r:id="rId186" display="http://www.moderngraham.com/2015/07/21/enterprise-products-partners-lp-analysis-initial-coverage-epd/"/>
    <hyperlink ref="B188" r:id="rId187" display="http://www.moderngraham.com/2015/07/16/equinix-inc-analysis-initial-coverage-eqix/"/>
    <hyperlink ref="B189" r:id="rId188" display="http://www.moderngraham.com/2015/06/17/equity-residential-analysis-2015-update-eqr/"/>
    <hyperlink ref="B190" r:id="rId189" display="http://www.moderngraham.com/2015/05/09/eqt-corporation-annual-valuation-2015-eqt/"/>
    <hyperlink ref="B191" r:id="rId190" display="http://www.moderngraham.com/2015/07/17/eversource-energy-analysis-initial-coverage-es/"/>
    <hyperlink ref="B192" r:id="rId191" display="http://www.moderngraham.com/2015/07/30/express-scripts-inc-analysis-2015-update-esrx/"/>
    <hyperlink ref="B193" r:id="rId192" display="http://www.moderngraham.com/2015/10/09/essex-property-trust-inc-analysis-october-2015-update-ess/"/>
    <hyperlink ref="B194" r:id="rId193" display="http://www.moderngraham.com/2015/07/21/ensco-plc-analysis-2015-update-esv/"/>
    <hyperlink ref="B195" r:id="rId194" display="http://www.moderngraham.com/2015/01/26/etrade-financial-corporation-annual-valuation-2015-etfc/"/>
    <hyperlink ref="B196" r:id="rId195" display="http://www.moderngraham.com/2015/05/19/eaton-corporation-annual-valuation-2015-etn/"/>
    <hyperlink ref="B197" r:id="rId196" display="http://www.moderngraham.com/2016/01/27/entergy-corp-valuation-january-2016-update-etr/"/>
    <hyperlink ref="B198" r:id="rId197" display="http://www.moderngraham.com/2016/02/09/edwards-lifesciences-corp-valuation-february-2016-ew/"/>
    <hyperlink ref="B199" r:id="rId198" display="http://www.moderngraham.com/2015/03/01/exelon-corporation-annual-valuation-2015-exc/"/>
    <hyperlink ref="B200" r:id="rId199" display="http://www.moderngraham.com/2016/01/04/expeditors-international-of-washington-valuation-january-2016-update-expd/"/>
    <hyperlink ref="B201" r:id="rId200" display="http://www.moderngraham.com/2015/10/01/expedia-inc-analysis-october-2015-update-expe/"/>
    <hyperlink ref="B202" r:id="rId201" display="http://www.moderngraham.com/2016/01/07/ford-motor-company-valuation-january-2016-update-f/"/>
    <hyperlink ref="B203" r:id="rId202" display="http://www.moderngraham.com/2015/11/27/fastenal-co-valuation-november-2015-update-fast/"/>
    <hyperlink ref="B204" r:id="rId203" display="http://www.moderngraham.com/2016/01/29/facebook-inc-valuation-january-2016-update-fb/"/>
    <hyperlink ref="B205" r:id="rId204" display="http://www.moderngraham.com/2015/09/14/freeport-mcmoran-inc-analysis-september-2015-update-fcx/"/>
    <hyperlink ref="B206" r:id="rId205" display="http://www.moderngraham.com/2015/11/27/fedex-corp-valuation-november-2015-update-fdx/"/>
    <hyperlink ref="B207" r:id="rId206" display="http://www.moderngraham.com/2015/05/10/firstenergy-corporation-annual-valuation-2015-fe/"/>
    <hyperlink ref="B208" r:id="rId207" display="http://www.moderngraham.com/2015/04/09/f5-networks-inc-annual-valuation-2015-ffiv/"/>
    <hyperlink ref="B209" r:id="rId208" display="http://www.moderngraham.com/2015/05/13/fidelity-national-information-services-inc-annual-valuation-2015-fis/"/>
    <hyperlink ref="B210" r:id="rId209" display="http://www.moderngraham.com/2015/06/02/fiserv-inc-analysis-2015-annual-update-fisv/"/>
    <hyperlink ref="B211" r:id="rId210" display="http://www.moderngraham.com/2016/01/05/fifth-third-bancorp-valuation-january-2016-update-fitb/"/>
    <hyperlink ref="B212" r:id="rId211" display="http://www.moderngraham.com/2015/11/13/flir-systems-inc-valuation-november-2015-update-flir/"/>
    <hyperlink ref="B213" r:id="rId212" display="http://www.moderngraham.com/2016/02/03/fluor-corp-valuation-february-2016-update-flr/"/>
    <hyperlink ref="B214" r:id="rId213" display="http://www.moderngraham.com/2015/11/19/flowserve-corp-valuation-november-2015-update-fls/"/>
    <hyperlink ref="B215" r:id="rId214" display="http://www.moderngraham.com/2016/01/29/fmc-corporation-valuation-january-2016-update-fmc/"/>
    <hyperlink ref="B216" r:id="rId215" display="http://www.moderngraham.com/2016/02/16/fossil-group-inc-stock-valuation-february-2016-fosl/"/>
    <hyperlink ref="B217" r:id="rId216" display="http://www.moderngraham.com/2016/02/02/twenty-first-century-fox-inc-valuation-february-2016-update-foxa/"/>
    <hyperlink ref="B218" r:id="rId217" display="http://www.moderngraham.com/2015/11/03/first-solar-inc-valuation-november-2015-update-fslr/"/>
    <hyperlink ref="B219" r:id="rId218" display="http://www.moderngraham.com/2015/11/11/fmc-technologies-inc-valuation-november-2015-update-fti/"/>
    <hyperlink ref="B220" r:id="rId219" display="http://www.moderngraham.com/2015/11/16/frontier-communications-corp-valuation-november-2015-update-ftr/"/>
    <hyperlink ref="B221" r:id="rId220" display="http://www.moderngraham.com/2015/01/06/agl-resources-inc-annual-valuation-2015-agl/"/>
    <hyperlink ref="B222" r:id="rId221" display="http://www.moderngraham.com/2016/01/07/general-dynamics-corporation-valuation-january-2016-update-gd/"/>
    <hyperlink ref="B223" r:id="rId222" display="http://www.moderngraham.com/2015/03/04/general-electric-annual-valuation-2015-ge/"/>
    <hyperlink ref="B224" r:id="rId223" display="http://www.moderngraham.com/2015/07/30/goldcorp-inc-analysis-initial-coverage-gg/"/>
    <hyperlink ref="B225" r:id="rId224" display="http://www.moderngraham.com/2015/02/21/general-growth-properties-inc-annual-valuation-2015-ggp/"/>
    <hyperlink ref="B226" r:id="rId225" display="http://www.moderngraham.com/2015/09/21/graham-holdings-company-analysis-september-2015-update-ghc/"/>
    <hyperlink ref="B227" r:id="rId226" display="http://www.moderngraham.com/2015/01/26/gilead-sciences-inc-annual-valuation-2015-gild/"/>
    <hyperlink ref="B228" r:id="rId227" display="http://www.moderngraham.com/2015/04/04/general-mills-inc-annual-valuation-2015-gis/"/>
    <hyperlink ref="B229" r:id="rId228" display="http://www.moderngraham.com/2015/11/19/corning-inc-valuation-november-2015-update-glw/"/>
    <hyperlink ref="B230" r:id="rId229" display="http://www.moderngraham.com/2015/07/31/general-motors-company-analysis-2015-update-gm/"/>
    <hyperlink ref="B231" r:id="rId230" display="http://www.moderngraham.com/2016/01/31/keurig-green-mountain-inc-valuation-january-2016-update-gmcr/"/>
    <hyperlink ref="B232" r:id="rId231" display="http://www.moderngraham.com/2015/05/23/gamestop-corporation-annual-valuation-2015-gme/"/>
    <hyperlink ref="B233" r:id="rId232" display="http://www.moderngraham.com/2015/06/02/genworth-financial-analysis-2015-annual-update-gnw/"/>
    <hyperlink ref="B234" r:id="rId233" display="http://www.moderngraham.com/2015/10/28/alphabet-inc-valuation-october-2015-update-goog-googl/"/>
    <hyperlink ref="B235" r:id="rId234" display="http://www.moderngraham.com/2015/10/28/alphabet-inc-valuation-october-2015-update-goog-googl/"/>
    <hyperlink ref="B236" r:id="rId235" display="http://www.moderngraham.com/2016/01/30/genuine-parts-co-valuation-january-2016-update-gpc/"/>
    <hyperlink ref="B237" r:id="rId236" display="http://www.moderngraham.com/2016/02/09/gap-inc-valuation-february-2016-gps/"/>
    <hyperlink ref="B238" r:id="rId237" display="http://www.moderngraham.com/2016/02/15/garmin-ltd-stock-valuation-february-2016-grmn/"/>
    <hyperlink ref="B239" r:id="rId238" display="http://www.moderngraham.com/2015/11/10/goldman-sachs-group-inc-valuation-november-2015-update-gs/"/>
    <hyperlink ref="B240" r:id="rId239" display="http://www.moderngraham.com/2015/02/04/goodyear-tire-rubber-company-annual-valuation-2015-gt/"/>
    <hyperlink ref="B241" r:id="rId240" display="http://www.moderngraham.com/2016/01/08/w-w-grainger-inc-valuation-january-2016-update-gww/"/>
    <hyperlink ref="B242" r:id="rId241" display="http://www.moderngraham.com/2015/09/10/halliburton-company-analysis-september-2015-update-hal/"/>
    <hyperlink ref="B243" r:id="rId242" display="http://www.moderngraham.com/2015/09/11/harman-international-industries-analysis-september-2015-update-har/"/>
    <hyperlink ref="B244" r:id="rId243" display="http://www.moderngraham.com/2016/01/29/hasbro-inc-valuation-january-2016-update-has/"/>
    <hyperlink ref="B245" r:id="rId244" display="http://www.moderngraham.com/2016/01/04/huntington-bancshares-valuation-january-2016-update-hban/"/>
    <hyperlink ref="B246" r:id="rId245" display="http://www.moderngraham.com/2016/02/03/hanesbrands-inc-valuation-february-2016-update-hbi/"/>
    <hyperlink ref="B247" r:id="rId246" display="http://www.moderngraham.com/2015/07/28/hca-holdings-inc-analysis-initial-coverage-hca/"/>
    <hyperlink ref="B248" r:id="rId247" display="http://www.moderngraham.com/2015/11/12/welltower-inc-valuation-november-2015-update-hcn/"/>
    <hyperlink ref="B249" r:id="rId248" display="http://www.moderngraham.com/2016/01/31/hcp-inc-valuation-january-2016-update-hcp/"/>
    <hyperlink ref="B250" r:id="rId249" display="http://www.moderngraham.com/2015/11/10/home-depot-inc-valuation-november-2015-update-hd/"/>
    <hyperlink ref="B251" r:id="rId250" display="http://www.moderngraham.com/2015/05/12/hess-corporation-annual-valuation-2015-hes/"/>
    <hyperlink ref="B252" r:id="rId251" display="http://www.moderngraham.com/2015/06/03/hartford-financial-services-analysis-2015-annual-update-hig/"/>
    <hyperlink ref="B253" r:id="rId252" display="http://www.moderngraham.com/2016/01/04/harley-davidson-inc-valuation-january-2016-update-hog/"/>
    <hyperlink ref="B254" r:id="rId253" display="http://www.moderngraham.com/2016/02/10/honeywell-international-inc-valuation-february-2016-hon/"/>
    <hyperlink ref="B255" r:id="rId254" display="http://www.moderngraham.com/2015/07/15/starwood-hotels-resorts-worldwide-inc-analysis-july-2015-update-hot/"/>
    <hyperlink ref="B256" r:id="rId255" display="http://www.moderngraham.com/2015/11/27/helmerich-payne-inc-valuation-november-2015-update-hp/"/>
    <hyperlink ref="B257" r:id="rId256" display="http://www.moderngraham.com/2015/01/29/hewlett-packard-corporation-annual-valuation-2015-hpq/"/>
    <hyperlink ref="B258" r:id="rId257" display="http://www.moderngraham.com/2015/02/17/hr-block-inc-annual-valuation-2015-hrb/"/>
    <hyperlink ref="B259" r:id="rId258" display="http://www.moderngraham.com/2016/02/15/hormel-foods-corp-stock-valuation-february-2016-hrl/"/>
    <hyperlink ref="B260" r:id="rId259" display="http://www.moderngraham.com/2016/02/18/harris-corporation-valuation-february-2016-hrs/"/>
    <hyperlink ref="B261" r:id="rId260" display="http://www.moderngraham.com/2016/02/01/henry-schein-inc-valuation-february-2016-update-hsic/"/>
    <hyperlink ref="B262" r:id="rId261" display="http://www.moderngraham.com/2015/03/02/host-hotels-and-resorts-inc-annual-valuation-2015-hst/"/>
    <hyperlink ref="B263" r:id="rId262" display="http://www.moderngraham.com/2015/01/25/hershey-company-annual-valuation-2015-hsy/"/>
    <hyperlink ref="B264" r:id="rId263" display="http://www.moderngraham.com/2016/02/15/humana-inc-stock-valuation-february-2016-hum/"/>
    <hyperlink ref="B265" r:id="rId264" display="http://www.moderngraham.com/2015/11/10/international-business-machines-corp-valuation-november-2015-update-ibm/"/>
    <hyperlink ref="B266" r:id="rId265" display="http://www.moderngraham.com/2015/05/09/intercontinental-exchange-inc-annual-valuation-2015-ice/"/>
    <hyperlink ref="B267" r:id="rId266" display="http://www.moderngraham.com/2015/12/11/international-flavors-fragrances-valuation-december-2015-update-iff/"/>
    <hyperlink ref="B268" r:id="rId267" display="http://www.moderngraham.com/2016/01/05/infosys-ltd-valuation-january-2016-update-infy/"/>
    <hyperlink ref="B269" r:id="rId268" display="http://www.moderngraham.com/2015/11/18/intel-corp-valuation-november-2015-update-intc/"/>
    <hyperlink ref="B270" r:id="rId269" display="http://www.moderngraham.com/2016/01/25/intuit-inc-valuation-january-2016-update-intu/"/>
    <hyperlink ref="B271" r:id="rId270" display="http://www.moderngraham.com/2015/12/11/international-paper-co-valuation-december-2015-update-ip/"/>
    <hyperlink ref="B272" r:id="rId271" display="http://www.moderngraham.com/2015/04/08/interpublic-group-of-companies-inc-annual-valuation-2015-ipg/"/>
    <hyperlink ref="B273" r:id="rId272" display="http://www.moderngraham.com/2015/02/02/ingersoll-rand-inc-annual-valuation-2015-ir/"/>
    <hyperlink ref="B274" r:id="rId273" display="http://www.moderngraham.com/2015/05/24/iron-mountain-inc-annual-valuation-2015-irm/"/>
    <hyperlink ref="B275" r:id="rId274" display="http://www.moderngraham.com/2016/01/30/intuitive-surgical-inc-valuation-january-2016-update-isrg/"/>
    <hyperlink ref="B276" r:id="rId275" display="http://www.moderngraham.com/2016/01/05/illinois-tool-works-inc-valuation-january-2016-update-itw/"/>
    <hyperlink ref="B277" r:id="rId276" display="http://www.moderngraham.com/2016/01/25/invesco-ltd-valuation-january-2016-update-ivz/"/>
    <hyperlink ref="B278" r:id="rId277" display="http://www.moderngraham.com/2015/02/13/jabil-circuit-inc-annual-valuation-2015-jbl/"/>
    <hyperlink ref="B279" r:id="rId278" display="http://www.moderngraham.com/2015/02/22/johnson-controls-inc-annual-valuation-2015-jci/"/>
    <hyperlink ref="B280" r:id="rId279" display="http://www.moderngraham.com/2016/01/27/jacobs-engineering-group-inc-valuation-january-2016-update-jec/"/>
    <hyperlink ref="B281" r:id="rId280" display="http://www.moderngraham.com/2016/01/08/johnson-johnson-valuation-january-2016-update-jnj/"/>
    <hyperlink ref="B282" r:id="rId281" display="http://www.moderngraham.com/2015/01/31/juniper-networks-inc-annual-valuation-2015-jnpr/"/>
    <hyperlink ref="B283" r:id="rId282" display="http://www.moderngraham.com/2016/02/05/joy-global-inc-valuation-february-2016-joy/"/>
    <hyperlink ref="B284" r:id="rId283" display="http://www.moderngraham.com/2016/01/25/jp-morgan-chase-valuation-january-2016-update-jpm/"/>
    <hyperlink ref="B285" r:id="rId284" display="http://www.moderngraham.com/2015/10/28/nordstrom-inc-valuation-october-2015-update-jwn/"/>
    <hyperlink ref="B286" r:id="rId285" display="http://www.moderngraham.com/2015/02/14/kellogg-company-annual-valuation-2015-k/"/>
    <hyperlink ref="B287" r:id="rId286" display="http://www.moderngraham.com/2015/11/27/keycorp-valuation-november-2015-update-key/"/>
    <hyperlink ref="B288" r:id="rId287" display="http://www.moderngraham.com/2016/02/16/kimco-realty-corp-stock-valuation-february-2016-kim/"/>
    <hyperlink ref="B289" r:id="rId288" display="http://www.moderngraham.com/2016/02/15/kkr-co-lp-stock-valuation-february-2016-kkr/"/>
    <hyperlink ref="B290" r:id="rId289" display="http://www.moderngraham.com/2016/01/06/kla-tencor-corp-valuation-january-2016-update-klac/"/>
    <hyperlink ref="B291" r:id="rId290" display="http://www.moderngraham.com/2015/02/06/kimberly-clark-corporation-annual-valuation-2015-kmb/"/>
    <hyperlink ref="B292" r:id="rId291" display="http://www.moderngraham.com/2015/09/03/kinder-morgan-inc-analysis-september-2015-update-kmi/"/>
    <hyperlink ref="B293" r:id="rId292" display="http://www.moderngraham.com/2015/04/10/carmax-inc-annual-valuation-2015-kmx/"/>
    <hyperlink ref="B294" r:id="rId293" display="http://www.moderngraham.com/2015/03/05/the-coca-cola-company-annual-valuation-2015-ko/"/>
    <hyperlink ref="B295" r:id="rId294" display="http://www.moderngraham.com/2016/01/05/michael-kors-holdings-ltd-valuation-january-2016-update-kors/"/>
    <hyperlink ref="B296" r:id="rId295" display="http://www.moderngraham.com/2015/07/21/kroger-company-analysis-2015-update-kr/"/>
    <hyperlink ref="B297" r:id="rId296" display="http://www.moderngraham.com/2015/11/18/kohls-corporation-valuation-november-2015-update-kss/"/>
    <hyperlink ref="B298" r:id="rId297" display="http://www.moderngraham.com/2015/08/13/kansas-city-southern-analysis-august-2015-update-ksu/"/>
    <hyperlink ref="B299" r:id="rId298" display="http://www.moderngraham.com/2015/11/04/loews-corporation-valuation-november-2015-update-l/"/>
    <hyperlink ref="B300" r:id="rId299" display="http://www.moderngraham.com/2016/01/07/l-brands-inc-valuation-january-2016-update-lb/"/>
    <hyperlink ref="B301" r:id="rId300" display="http://www.moderngraham.com/2016/02/16/leggett-platt-inc-stock-valuation-february-2016-leg/"/>
    <hyperlink ref="B302" r:id="rId301" display="http://www.moderngraham.com/2015/11/12/lennar-corporation-valuation-november-2015-update-len/"/>
    <hyperlink ref="B303" r:id="rId302" display="http://www.moderngraham.com/2015/05/13/laboratory-corporation-of-america-holdings-annual-valuation-2015-lh/"/>
    <hyperlink ref="B304" r:id="rId303" display="http://www.moderngraham.com/2015/05/15/l3-communications-holdings-inc-quarterly-valuation-may-2015-lll/"/>
    <hyperlink ref="B305" r:id="rId304" display="http://www.moderngraham.com/2016/01/31/linear-technology-corp-valuation-january-2016-update-lltc/"/>
    <hyperlink ref="B306" r:id="rId305" display="http://www.moderngraham.com/2015/05/11/eli-lilly-co-annual-valuation-2015-lly/"/>
    <hyperlink ref="B307" r:id="rId306" display="http://www.moderngraham.com/2015/12/11/legg-mason-inc-valuation-december-2015-update-lm/"/>
    <hyperlink ref="B308" r:id="rId307" display="http://www.moderngraham.com/2015/02/01/lockheed-martin-corporation-annual-valuation-2015-lmt/"/>
    <hyperlink ref="B309" r:id="rId308" display="http://www.moderngraham.com/2015/11/13/lincoln-national-corp-valuation-november-2015-update-lnc/"/>
    <hyperlink ref="B310" r:id="rId309" display="http://www.moderngraham.com/2016/01/08/lowes-companies-inc-valuation-january-2016-update-low/"/>
    <hyperlink ref="B311" r:id="rId310" display="http://www.moderngraham.com/2016/01/04/lam-research-corp-valuation-january-2016-update-lrcx/"/>
    <hyperlink ref="B312" r:id="rId311" display="http://www.moderngraham.com/2015/05/19/leucadia-national-corporation-annual-valuation-2015-luk/"/>
    <hyperlink ref="B313" r:id="rId312" display="http://www.moderngraham.com/2015/10/15/southwest-airlines-company-valuation-october-2015-update-luv/"/>
    <hyperlink ref="B314" r:id="rId313" display="http://www.moderngraham.com/2015/07/21/level-3-communications-inc-analysis-initial-coverage-lvlt/"/>
    <hyperlink ref="B315" r:id="rId314" display="http://www.moderngraham.com/2015/11/25/lyondellbasell-industries-valuation-november-2015-update-lyb/"/>
    <hyperlink ref="B316" r:id="rId315" display="http://www.moderngraham.com/2015/02/12/macys-inc-annual-valuation-2015-m/"/>
    <hyperlink ref="B317" r:id="rId316" display="http://www.moderngraham.com/2016/01/05/mastercard-inc-valuation-january-2016-update-ma/"/>
    <hyperlink ref="B318" r:id="rId317" display="http://www.moderngraham.com/2016/01/06/macerich-co-valuation-january-2016-update-mac/"/>
    <hyperlink ref="B319" r:id="rId318" display="http://www.moderngraham.com/2015/07/30/main-street-capital-corporation-analysis-initial-coverage-main/"/>
    <hyperlink ref="B320" r:id="rId319" display="http://www.moderngraham.com/2015/03/27/marriott-international-inc-annual-valuation-2015-mar/"/>
    <hyperlink ref="B321" r:id="rId320" display="http://www.moderngraham.com/2015/09/02/masco-corporation-analysis-september-2015-update-mas/"/>
    <hyperlink ref="B322" r:id="rId321" display="http://www.moderngraham.com/2016/01/30/mattel-inc-valuation-january-2016-update-mat/"/>
    <hyperlink ref="B323" r:id="rId322" display="http://www.moderngraham.com/2015/11/10/mcdonalds-corporation-november-2015-update-mcd/"/>
    <hyperlink ref="B324" r:id="rId323" display="http://www.moderngraham.com/2016/01/25/microchip-technology-inc-valuation-january-2016-update-mchp/"/>
    <hyperlink ref="B325" r:id="rId324" display="http://www.moderngraham.com/2015/05/10/mckesson-corporation-annual-valuation-2015-mck/"/>
    <hyperlink ref="B326" r:id="rId325" display="http://www.moderngraham.com/2016/02/16/moodys-corporation-stock-valuation-february-2016-mco/"/>
    <hyperlink ref="B327" r:id="rId326" display="http://www.moderngraham.com/2015/06/24/mondelez-international-inc-analysis-2015-update-mdlz/"/>
    <hyperlink ref="B328" r:id="rId327" display="http://www.moderngraham.com/2016/01/31/medtronic-plc-valuation-january-2016-update-mdt/"/>
    <hyperlink ref="B329" r:id="rId328" display="http://www.moderngraham.com/2016/02/03/metlife-inc-valuation-february-2016-update-met/"/>
    <hyperlink ref="B330" r:id="rId329" display="http://www.moderngraham.com/2015/07/21/mcgraw-hill-financial-inc-analysis-2015-update-mhfi/"/>
    <hyperlink ref="B331" r:id="rId330" display="http://www.moderngraham.com/2015/10/05/mohawk-industries-inc-analysis-october-2015-update-mhk/"/>
    <hyperlink ref="B332" r:id="rId331" display="http://www.moderngraham.com/2015/11/19/mead-johnson-nutrition-co-valuation-november-2015-update-mjn/"/>
    <hyperlink ref="B333" r:id="rId332" display="http://www.moderngraham.com/2015/08/15/mccormick-company-inc-analysis-august-2015-update-mkc/"/>
    <hyperlink ref="B334" r:id="rId333" display="http://www.moderngraham.com/2016/02/04/martin-marietta-materials-inc-valuation-february-2016-update-mlm/"/>
    <hyperlink ref="B335" r:id="rId334" display="http://www.moderngraham.com/2016/01/31/marsh-mclennan-company-valuation-january-2016-update-mmc/"/>
    <hyperlink ref="B336" r:id="rId335" display="http://www.moderngraham.com/2016/02/03/3m-company-valuation-february-2016-update-mmm/"/>
    <hyperlink ref="B337" r:id="rId336" display="http://www.moderngraham.com/2015/07/22/magellan-midstream-partners-lp-analysis-initial-coverage-mmp/"/>
    <hyperlink ref="B338" r:id="rId337" display="http://www.moderngraham.com/2015/07/22/mallinckrodt-plc-analysis-initial-coverage-mnk/"/>
    <hyperlink ref="B339" r:id="rId338" display="http://www.moderngraham.com/2016/01/25/monster-beverage-corp-valuation-january-2016-update-mnst/"/>
    <hyperlink ref="B340" r:id="rId339" display="http://www.moderngraham.com/2015/01/21/altria-group-inc-annual-valuation-2015-mo/"/>
    <hyperlink ref="B341" r:id="rId340" display="http://www.moderngraham.com/2016/01/25/monsanto-company-valuation-january-2016-update-mon/"/>
    <hyperlink ref="B342" r:id="rId341" display="http://www.moderngraham.com/2015/10/14/mosaic-company-valuation-october-2015-update-mos/"/>
    <hyperlink ref="B343" r:id="rId342" display="http://www.moderngraham.com/2015/07/23/marathon-petroleum-corporation-analysis-2015-update-mpc/"/>
    <hyperlink ref="B344" r:id="rId343" display="http://www.moderngraham.com/2015/11/11/merck-co-valuation-november-2015-update-mrk/"/>
    <hyperlink ref="B345" r:id="rId344" display="http://www.moderngraham.com/2015/03/21/marathon-oil-corporation-annual-valuation-2015-mro/"/>
    <hyperlink ref="B346" r:id="rId345" display="http://www.moderngraham.com/2015/02/02/morgan-stanley-annual-valuation-2015-ms/"/>
    <hyperlink ref="B347" r:id="rId346" display="http://www.moderngraham.com/2016/02/09/microsoft-corp-valuation-february-2016-msft/"/>
    <hyperlink ref="B348" r:id="rId347" display="http://www.moderngraham.com/2016/02/04/motorola-solutions-inc-valuation-february-2016-update-msi/"/>
    <hyperlink ref="B349" r:id="rId348" display="http://www.moderngraham.com/2015/12/10/mt-bank-corp-valuation-december-2015-update-mtb/"/>
    <hyperlink ref="B350" r:id="rId349" display="http://www.moderngraham.com/2016/02/01/mts-systems-corp-valuation-february-2016-update-mtsc/"/>
    <hyperlink ref="B351" r:id="rId350" display="http://www.moderngraham.com/2015/11/10/micron-technology-inc-valuation-november-2015-update-mu/"/>
    <hyperlink ref="B352" r:id="rId351" display="http://www.moderngraham.com/2015/11/18/murphy-oil-corporation-valuation-november-2015-update-mur/"/>
    <hyperlink ref="B353" r:id="rId352" display="http://www.moderngraham.com/2016/01/06/mylan-nv-valuation-january-2016-update-myl/"/>
    <hyperlink ref="B354" r:id="rId353" display="http://www.moderngraham.com/2015/07/29/navient-corporation-analysis-initial-coverage-navi/"/>
    <hyperlink ref="B355" r:id="rId354" display="http://www.moderngraham.com/2015/02/14/noble-energy-inc-annual-valuation-2015-nbl/"/>
    <hyperlink ref="B356" r:id="rId355" display="http://www.moderngraham.com/2015/02/27/nabors-industries-limited-annual-valuation-2015-nbr/"/>
    <hyperlink ref="B357" r:id="rId356" display="http://www.moderngraham.com/2015/03/27/nasdaq-omx-group-inc-annual-valuation-2015-ndaq/"/>
    <hyperlink ref="B358" r:id="rId357" display="http://www.moderngraham.com/2015/04/08/noble-corporation-annual-valuation-2015-ne/"/>
    <hyperlink ref="B359" r:id="rId358" display="http://www.moderngraham.com/2015/08/13/nextera-energy-inc-analysis-august-2015-update-nee/"/>
    <hyperlink ref="B360" r:id="rId359" display="http://www.moderngraham.com/2015/04/10/newmont-mining-corporation-annual-valuation-2015-nem/"/>
    <hyperlink ref="B361" r:id="rId360" display="http://www.moderngraham.com/2015/11/13/netflix-inc-valuation-november-2015-update-nflx/"/>
    <hyperlink ref="B362" r:id="rId361" display="http://www.moderngraham.com/2015/06/03/newfield-exploration-company-analysis-2015-annual-update-nfx/"/>
    <hyperlink ref="B363" r:id="rId362" display="http://www.moderngraham.com/2015/06/27/nisource-analysis-2015-update-ni/"/>
    <hyperlink ref="B364" r:id="rId363" display="http://www.moderngraham.com/2015/11/12/nike-inc-valuation-november-2015-update-nke/"/>
    <hyperlink ref="B365" r:id="rId364" display="http://www.moderngraham.com/2015/07/16/nielsen-nv-analysis-july-2015-update-nlsn/"/>
    <hyperlink ref="B366" r:id="rId365" display="http://www.moderngraham.com/2015/07/28/national-retail-properties-inc-analysis-initial-coverage-nnn/"/>
    <hyperlink ref="B367" r:id="rId366" display="http://www.moderngraham.com/2015/11/05/northrop-grumman-corporation-valuation-november-2015-update-noc/"/>
    <hyperlink ref="B368" r:id="rId367" display="http://www.moderngraham.com/2016/02/04/national-oilwell-varco-inc-valuation-february-2016-update-nov/"/>
    <hyperlink ref="B369" r:id="rId368" display="http://www.moderngraham.com/2016/01/31/national-presto-industries-valuation-january-2016-update-npk/"/>
    <hyperlink ref="B370" r:id="rId369" display="http://www.moderngraham.com/2015/10/03/natural-resource-partners-lp-analysis-october-2015-update-nrp/"/>
    <hyperlink ref="B371" r:id="rId370" display="http://www.moderngraham.com/2016/02/03/norfolk-southern-corp-valuation-february-2016-update-nsc/"/>
    <hyperlink ref="B372" r:id="rId371" display="http://www.moderngraham.com/2015/09/24/netapp-inc-analysis-september-2015-update-ntap/"/>
    <hyperlink ref="B373" r:id="rId372" display="http://www.moderngraham.com/2016/01/25/northern-trust-corp-valuation-january-2016-update-ntrs/"/>
    <hyperlink ref="B374" r:id="rId373" display="http://www.moderngraham.com/2016/02/04/nucor-corp-valuation-february-2016-update-nue/"/>
    <hyperlink ref="B375" r:id="rId374" display="http://www.moderngraham.com/2015/11/13/nvidia-corporation-valuation-november-2015-update-nvda/"/>
    <hyperlink ref="B376" r:id="rId375" display="http://www.moderngraham.com/2015/10/21/newell-rubbermaid-inc-valuation-october-2015-update-nwl/"/>
    <hyperlink ref="B377" r:id="rId376" display="http://www.moderngraham.com/2015/11/04/news-corporation-valuation-november-2015-update-nwsa/"/>
    <hyperlink ref="B378" r:id="rId377" display="http://www.moderngraham.com/2014/12/29/realty-income-corporation-annual-valuation-2014-o/"/>
    <hyperlink ref="B379" r:id="rId378" display="http://www.moderngraham.com/2015/02/14/owens-illinois-inc-annual-valuation-2015-oi/"/>
    <hyperlink ref="B380" r:id="rId379" display="http://www.moderngraham.com/2015/02/27/oneok-inc-annual-valuation-2015-oke/"/>
    <hyperlink ref="B381" r:id="rId380" display="http://www.moderngraham.com/2015/05/12/olin-corporation-annual-valuation-2015-oln/"/>
    <hyperlink ref="B382" r:id="rId381" display="http://www.moderngraham.com/2015/03/27/omnicom-group-inc-annual-valuation-2015-omc/"/>
    <hyperlink ref="B383" r:id="rId382" display="http://www.moderngraham.com/2016/01/06/oracle-corporation-valuation-january-2016-update-orcl/"/>
    <hyperlink ref="B384" r:id="rId383" display="http://www.moderngraham.com/2015/04/09/oreilly-automotive-inc-annual-valuation-2015-orly/"/>
    <hyperlink ref="B385" r:id="rId384" display="http://www.moderngraham.com/2015/06/11/occidental-petroleum-corporation-2015-update-oxy/"/>
    <hyperlink ref="B386" r:id="rId385" display="http://www.moderngraham.com/2015/11/18/paychex-inc-valuation-november-2015-update-payx/"/>
    <hyperlink ref="B387" r:id="rId386" display="http://www.moderngraham.com/2015/12/10/peoples-united-financial-corp-valuation-december-2015-update-pbct/"/>
    <hyperlink ref="B388" r:id="rId387" display="http://www.moderngraham.com/2015/03/01/pitney-bowes-inc-annual-valuation-2015-pbi/"/>
    <hyperlink ref="B389" r:id="rId388" display="http://www.moderngraham.com/2016/01/27/paccar-inc-valuation-january-2016-update-pcar/"/>
    <hyperlink ref="B390" r:id="rId389" display="http://www.moderngraham.com/2015/04/08/pge-corporation-annual-valuation-2015-pcg/"/>
    <hyperlink ref="B391" r:id="rId390" display="http://www.moderngraham.com/2015/05/21/priceline-group-annual-valuation-2015-pcln/"/>
    <hyperlink ref="B392" r:id="rId391" display="http://www.moderngraham.com/2016/02/16/patterson-companies-inc-stock-valuation-february-2016-pdco/"/>
    <hyperlink ref="B393" r:id="rId392" display="http://www.moderngraham.com/2015/07/15/public-service-enterprise-group-inc-analysis-2015-update-peg/"/>
    <hyperlink ref="B394" r:id="rId393" display="http://www.moderngraham.com/2015/01/25/pepsico-inc-annual-valuation-2015-pep/"/>
    <hyperlink ref="B395" r:id="rId394" display="http://www.moderngraham.com/2016/02/09/pfizer-inc-valuation-february-2016-pfe/"/>
    <hyperlink ref="B396" r:id="rId395" display="http://www.moderngraham.com/2015/11/11/principal-financial-group-valuation-november-2015-update-pfg/"/>
    <hyperlink ref="B397" r:id="rId396" display="http://www.moderngraham.com/2015/02/17/proctor-gamble-annual-valuation-2015-pg/"/>
    <hyperlink ref="B398" r:id="rId397" display="http://www.moderngraham.com/2015/11/19/progressive-corp-valuation-november-2015-update-pgr/"/>
    <hyperlink ref="B399" r:id="rId398" display="http://www.moderngraham.com/2016/01/31/parker-hannifin-corp-valuation-january-2016-update-ph/"/>
    <hyperlink ref="B400" r:id="rId399" display="http://www.moderngraham.com/2016/01/06/pultegroup-inc-valuation-january-2016-update-phm/"/>
    <hyperlink ref="B401" r:id="rId400" display="http://www.moderngraham.com/2016/01/28/perkinelmer-inc-valuation-january-2016-update-pki/"/>
    <hyperlink ref="B402" r:id="rId401" display="http://www.moderngraham.com/2015/10/21/prologis-inc-valuation-october-2015-update-pld/"/>
    <hyperlink ref="B403" r:id="rId402" display="http://www.moderngraham.com/2015/05/07/philip-morris-international-annual-valuation-2015-pm/"/>
    <hyperlink ref="B404" r:id="rId403" display="http://www.moderngraham.com/2016/02/16/psychemedics-corp-stock-valuation-february-2016-pmd/"/>
    <hyperlink ref="B405" r:id="rId404" display="http://www.moderngraham.com/2015/11/13/pnc-financial-services-group-valuation-november-2015-update-pnc/"/>
    <hyperlink ref="B406" r:id="rId405" display="http://www.moderngraham.com/2015/11/25/pentair-plc-valuation-november-2015-update-pnr/"/>
    <hyperlink ref="B407" r:id="rId406" display="http://www.moderngraham.com/2015/12/10/pinnacle-west-capital-corp-valuation-december-2015-update-pnw/"/>
    <hyperlink ref="B408" r:id="rId407" display="http://www.moderngraham.com/2015/12/10/pepco-holdings-inc-valuation-december-2015-update-pom/"/>
    <hyperlink ref="B409" r:id="rId408" display="http://www.moderngraham.com/2015/03/11/ppg-industries-inc-annual-valuation-2015-ppg/"/>
    <hyperlink ref="B410" r:id="rId409" display="http://www.moderngraham.com/2016/01/30/ppl-corporation-valuation-january-2016-update-ppl/"/>
    <hyperlink ref="B411" r:id="rId410" display="http://www.moderngraham.com/2016/01/26/perrigo-co-plc-valuation-january-2016-update-prgo/"/>
    <hyperlink ref="B412" r:id="rId411" display="http://www.moderngraham.com/2016/02/11/prudential-financial-inc-valuation-february-2016-pru/"/>
    <hyperlink ref="B413" r:id="rId412" display="http://www.moderngraham.com/2015/03/26/public-storage-annual-valuation-2015-psa/"/>
    <hyperlink ref="B414" r:id="rId413" display="http://www.moderngraham.com/2014/12/21/phillips-66-annual-valuation-2014-psx/"/>
    <hyperlink ref="B415" r:id="rId414" display="http://www.moderngraham.com/2015/04/03/pvh-corporation-quarterly-valuation-april-2015-pvh/"/>
    <hyperlink ref="B416" r:id="rId415" display="http://www.moderngraham.com/2016/02/10/quanta-services-inc-valuation-february-2016-pwr/"/>
    <hyperlink ref="B417" r:id="rId416" display="http://www.moderngraham.com/2015/01/05/praxair-inc-annual-valuation-2015-px/"/>
    <hyperlink ref="B418" r:id="rId417" display="http://www.moderngraham.com/2015/01/05/pioneer-natural-resources-annual-valuation-2015-pxd/"/>
    <hyperlink ref="B419" r:id="rId418" display="http://www.moderngraham.com/2016/02/10/qualcomm-inc-valuation-february-2016-qcom/"/>
    <hyperlink ref="B420" r:id="rId419" display="http://www.moderngraham.com/2015/02/15/qep-resources-inc-annual-valuation-2015-qep/"/>
    <hyperlink ref="B421" r:id="rId420" display="http://www.moderngraham.com/2015/07/30/qorvo-inc-analysis-initial-coverage-qrvo/"/>
    <hyperlink ref="B422" r:id="rId421" display="http://www.moderngraham.com/2015/02/15/ryder-system-inc-annual-valuation-2015-r/"/>
    <hyperlink ref="B423" r:id="rId422" display="http://www.moderngraham.com/2015/03/01/reynolds-american-inc-annual-valuation-2015-rai/"/>
    <hyperlink ref="B424" r:id="rId423" display="http://www.moderngraham.com/2016/01/29/raven-industries-inc-valuation-january-2016-update-ravn/"/>
    <hyperlink ref="B425" r:id="rId424" display="http://www.moderngraham.com/2015/06/16/regal-beloit-corporation-analysis-2015-update-rbc/"/>
    <hyperlink ref="B426" r:id="rId425" display="http://www.moderngraham.com/2015/03/29/rowan-companies-plc-annual-valuation-2015-rdc/"/>
    <hyperlink ref="B427" r:id="rId426" display="http://www.moderngraham.com/2015/04/08/regeneron-pharmaceuticals-inc-annual-valuation-2015-regn/"/>
    <hyperlink ref="B428" r:id="rId427" display="http://www.moderngraham.com/2015/01/27/regions-financial-corporation-annual-valuation-2015-rf/"/>
    <hyperlink ref="B429" r:id="rId428" display="http://www.moderngraham.com/2016/02/11/robert-half-international-inc-valuation-february-2016-rhi/"/>
    <hyperlink ref="B430" r:id="rId429" display="http://www.moderngraham.com/2015/05/08/red-hat-inc-annual-valuation-may-2015-rht/"/>
    <hyperlink ref="B431" r:id="rId430" display="http://www.moderngraham.com/2015/05/14/transocean-limited-annual-valuation-2015-rig/"/>
    <hyperlink ref="B432" r:id="rId431" display="http://www.moderngraham.com/2016/02/16/ralph-lauren-corp-stock-valuation-february-2016-rl/"/>
    <hyperlink ref="B433" r:id="rId432" display="http://www.moderngraham.com/2016/02/01/rockwell-automation-inc-valuation-february-2016-update-rok/"/>
    <hyperlink ref="B434" r:id="rId433" display="http://www.moderngraham.com/2016/01/26/roper-technologies-inc-valuation-january-2016-update-rop/"/>
    <hyperlink ref="B435" r:id="rId434" display="http://www.moderngraham.com/2015/12/10/ross-stores-inc-valuation-december-2015-update-rost/"/>
    <hyperlink ref="B436" r:id="rId435" display="http://www.moderngraham.com/2015/08/18/range-resources-corporation-analysis-august-2015-update-rrc/"/>
    <hyperlink ref="B437" r:id="rId436" display="http://www.moderngraham.com/2015/09/04/republic-services-inc-analysis-september-2015-update-rsg/"/>
    <hyperlink ref="B438" r:id="rId437" display="http://www.moderngraham.com/2016/02/18/raytheon-co-valuation-february-2016-rtn/"/>
    <hyperlink ref="B439" r:id="rId438" display="http://www.moderngraham.com/2015/02/15/starbucks-corporation-annual-valuation-2015-sbux/"/>
    <hyperlink ref="B440" r:id="rId439" display="http://www.moderngraham.com/2015/03/02/scana-corporation-annual-valuation-2015-scg/"/>
    <hyperlink ref="B441" r:id="rId440" display="http://www.moderngraham.com/2015/03/29/charles-schwab-corporation-annual-valuation-2015-schw/"/>
    <hyperlink ref="B442" r:id="rId441" display="http://www.moderngraham.com/2015/04/09/spectra-energy-corporation-april-2015-se/"/>
    <hyperlink ref="B443" r:id="rId442" display="http://www.moderngraham.com/2015/05/16/sealed-air-corporation-annual-valuation-2015-see/"/>
    <hyperlink ref="B444" r:id="rId443" display="http://www.moderngraham.com/2015/05/15/sherwin-williams-company-annual-valuation-2015-shw/"/>
    <hyperlink ref="B445" r:id="rId444" display="http://www.moderngraham.com/2016/02/10/j-m-smucker-co-valuation-february-2016-sjm/"/>
    <hyperlink ref="B446" r:id="rId445" display="http://www.moderngraham.com/2016/02/04/schlumberger-ltd-valuation-february-2016-slb/"/>
    <hyperlink ref="B447" r:id="rId446" display="http://www.moderngraham.com/2015/07/26/sl-green-realty-corp-analysis-initial-coverage-slg/"/>
    <hyperlink ref="B448" r:id="rId447" display="http://www.moderngraham.com/2015/08/07/slm-corporation-analysis-august-2015-update-slm/"/>
    <hyperlink ref="B449" r:id="rId448" display="http://www.moderngraham.com/2016/02/02/silver-wheaton-corporation-february-2016-update-slw/"/>
    <hyperlink ref="B450" r:id="rId449" display="http://www.moderngraham.com/2016/02/11/snap-on-inc-valuation-february-2016-sna/"/>
    <hyperlink ref="B451" r:id="rId450" display="http://www.moderngraham.com/2015/11/25/sandisk-corp-valuation-november-2015-update-sndk/"/>
    <hyperlink ref="B452" r:id="rId451" display="http://www.moderngraham.com/2016/02/01/scripps-networks-interactive-inc-valuation-february-2016-update-sni/"/>
    <hyperlink ref="B453" r:id="rId452" display="http://www.moderngraham.com/2015/01/28/southern-company-annual-valuation-2015-so/"/>
    <hyperlink ref="B454" r:id="rId453" display="http://www.moderngraham.com/2015/01/05/simon-property-group-annual-valuation-2015-spg/"/>
    <hyperlink ref="B455" r:id="rId454" display="http://www.moderngraham.com/2015/01/23/suburban-propane-partners-lp-annual-valuation-2015-sph/"/>
    <hyperlink ref="B456" r:id="rId455" display="http://www.moderngraham.com/2015/09/24/staples-inc-analysis-september-2015-update-spls/"/>
    <hyperlink ref="B457" r:id="rId456" display="http://www.moderngraham.com/2015/10/07/stericycle-inc-analysis-october-2015-update-srcl/"/>
    <hyperlink ref="B458" r:id="rId457" display="http://www.moderngraham.com/2015/10/26/sempra-energy-valuation-october-2015-update-sre/"/>
    <hyperlink ref="B459" r:id="rId458" display="http://www.moderngraham.com/2016/02/17/suntrust-banks-inc-valuation-february-2016-sti/"/>
    <hyperlink ref="B460" r:id="rId459" display="http://www.moderngraham.com/2015/02/17/st-jude-medical-inc-annual-valuation-2015-stj/"/>
    <hyperlink ref="B461" r:id="rId460" display="http://www.moderngraham.com/2015/11/27/state-street-corp-valuation-november-2015-update-stt/"/>
    <hyperlink ref="B462" r:id="rId461" display="http://www.moderngraham.com/2016/02/17/starwood-property-trust-inc-stock-valuation-february-2016-stwd/"/>
    <hyperlink ref="B463" r:id="rId462" display="http://www.moderngraham.com/2016/01/26/seagate-technology-plc-valuation-january-2016-update-stx/"/>
    <hyperlink ref="B464" r:id="rId463" display="http://www.moderngraham.com/2016/01/08/constellation-brands-inc-valuation-january-2016-update-stz/"/>
    <hyperlink ref="B465" r:id="rId464" display="http://www.moderngraham.com/2016/01/28/stanley-black-decker-inc-valuation-january-2016-update-swk/"/>
    <hyperlink ref="B466" r:id="rId465" display="http://www.moderngraham.com/2016/02/17/skyworks-solutions-inc-stock-valuation-february-2016-swks/"/>
    <hyperlink ref="B467" r:id="rId466" display="http://www.moderngraham.com/2016/02/02/southwestern-energy-company-valuation-february-2016-update-swn/"/>
    <hyperlink ref="B468" r:id="rId467" display="http://www.moderngraham.com/2016/01/26/stryker-corporation-valuation-january-2016-update-syk/"/>
    <hyperlink ref="B469" r:id="rId468" display="http://www.moderngraham.com/2016/02/19/symantec-corp-valuation-february-2016-symc/"/>
    <hyperlink ref="B470" r:id="rId469" display="http://www.moderngraham.com/2015/09/08/sysco-corporation-analysis-september-2015-update-syy/"/>
    <hyperlink ref="B471" r:id="rId470" display="http://www.moderngraham.com/2015/02/14/att-inc-annual-valuation-2015-t/"/>
    <hyperlink ref="B472" r:id="rId471" display="http://www.moderngraham.com/2015/11/06/molson-coors-brewing-co-valuation-november-2015-update-tap/"/>
    <hyperlink ref="B473" r:id="rId472" display="http://www.moderngraham.com/2015/09/08/teradata-corporation-analysis-september-2015-update-tdc/"/>
    <hyperlink ref="B474" r:id="rId473" display="http://www.moderngraham.com/2015/06/12/tidewater-inc-analysis-2015-update-tdw/"/>
    <hyperlink ref="B475" r:id="rId474" display="http://www.moderngraham.com/2015/03/30/teco-energy-inc-annual-valuation-2015-te/"/>
    <hyperlink ref="B476" r:id="rId475" display="http://www.moderngraham.com/2015/12/10/te-connectivity-ltd-valuation-december-2015-update-tel/"/>
    <hyperlink ref="B477" r:id="rId476" display="http://www.moderngraham.com/2015/11/16/tegna-inc-valuation-november-2015-update-tgna/"/>
    <hyperlink ref="B478" r:id="rId477" display="http://www.moderngraham.com/2015/06/19/target-corporation-stock-analysis-2015-update-tgt/"/>
    <hyperlink ref="B479" r:id="rId478" display="http://www.moderngraham.com/2015/05/18/tenet-healthcare-corporation-annual-valuation-2015-thc/"/>
    <hyperlink ref="B480" r:id="rId479" display="http://www.moderngraham.com/2016/02/01/tiffany-company-valuation-february-2016-update-tif/"/>
    <hyperlink ref="B481" r:id="rId480" display="http://www.moderngraham.com/2016/02/03/tjx-companies-inc-valuation-february-2016-update-tjx/"/>
    <hyperlink ref="B482" r:id="rId481" display="http://www.moderngraham.com/2016/02/04/torchmark-corp-valuation-february-2016-tmk/"/>
    <hyperlink ref="B483" r:id="rId482" display="http://www.moderngraham.com/2015/08/06/thermo-fisher-scientific-inc-analysis-2015-update-tmo/"/>
    <hyperlink ref="B484" r:id="rId483" display="http://www.moderngraham.com/2015/11/24/tripadvisor-inc-valuation-november-2015-update-trip/"/>
    <hyperlink ref="B485" r:id="rId484" display="http://www.moderngraham.com/2016/02/17/t-rowe-price-group-inc-stock-valuation-february-2016-trow/"/>
    <hyperlink ref="B486" r:id="rId485" display="http://www.moderngraham.com/2015/11/16/travelers-companies-inc-valuation-november-2015-update-trv/"/>
    <hyperlink ref="B487" r:id="rId486" display="http://www.moderngraham.com/2015/10/27/tractor-supply-company-valuation-october-2015-update-tsco/"/>
    <hyperlink ref="B488" r:id="rId487" display="http://www.moderngraham.com/2015/07/15/tyson-foods-analysis-july-2015-update-tsn/"/>
    <hyperlink ref="B489" r:id="rId488" display="http://www.moderngraham.com/2015/10/07/tesoro-corporation-analysis-october-2015-update-tso/"/>
    <hyperlink ref="B490" r:id="rId489" display="http://www.moderngraham.com/2015/11/17/total-system-services-inc-valuation-november-2015-update-tss/"/>
    <hyperlink ref="B491" r:id="rId490" display="http://www.moderngraham.com/2015/11/05/time-warner-cable-inc-valuation-november-2015-update-twc/"/>
    <hyperlink ref="B492" r:id="rId491" display="http://www.moderngraham.com/2015/02/02/time-warner-inc-annual-valuation-2015-twx/"/>
    <hyperlink ref="B493" r:id="rId492" display="http://www.moderngraham.com/2016/02/10/texas-instruments-inc-valuation-february-2016-txn/"/>
    <hyperlink ref="B494" r:id="rId493" display="http://www.moderngraham.com/2015/12/11/textron-inc-valuation-december-2015-update-txt/"/>
    <hyperlink ref="B495" r:id="rId494" display="http://www.moderngraham.com/2015/11/24/tyco-international-plc-valuation-november-2015-update-tyc/"/>
    <hyperlink ref="B496" r:id="rId495" display="http://www.moderngraham.com/2015/10/28/under-armour-inc-valuation-october-2015-update-ua/"/>
    <hyperlink ref="B497" r:id="rId496" display="http://www.moderngraham.com/2015/07/16/universal-health-services-inc-analysis-initial-coverage-uhs/"/>
    <hyperlink ref="B498" r:id="rId497" display="http://www.moderngraham.com/2015/11/16/unitedhealth-group-inc-valuation-november-2015-update-unh/"/>
    <hyperlink ref="B499" r:id="rId498" display="http://www.moderngraham.com/2015/11/11/unum-group-valuation-november-2015-update-unm/"/>
    <hyperlink ref="B500" r:id="rId499" display="http://www.moderngraham.com/2016/02/01/union-pacific-corporation-valuation-february-2016-update-unp/"/>
    <hyperlink ref="B501" r:id="rId500" display="http://www.moderngraham.com/2015/10/28/united-parcel-service-inc-valuation-october-2015-update-ups/"/>
    <hyperlink ref="B502" r:id="rId501" display="http://www.moderngraham.com/2016/01/06/urban-outfitters-inc-valuation-january-2016-update-urbn/"/>
    <hyperlink ref="B503" r:id="rId502" display="http://www.moderngraham.com/2015/07/16/united-rentals-inc-analysis-initial-coverage-uri/"/>
    <hyperlink ref="B504" r:id="rId503" display="http://www.moderngraham.com/2016/02/09/u-s-bancorp-valuation-february-2016-usb/"/>
    <hyperlink ref="B505" r:id="rId504" display="http://www.moderngraham.com/2015/11/16/united-technologies-corp-valuation-november-2015-update-utx/"/>
    <hyperlink ref="B506" r:id="rId505" display="http://www.moderngraham.com/2015/11/27/visa-inc-valuation-november-2015-update-v/"/>
    <hyperlink ref="B507" r:id="rId506" display="http://www.moderngraham.com/2015/11/12/varian-medical-systems-inc-valuation-november-2015-update-var/"/>
    <hyperlink ref="B508" r:id="rId507" display="http://www.moderngraham.com/2016/02/01/vf-corporation-valuation-february-2016-update-vfc/"/>
    <hyperlink ref="B509" r:id="rId508" display="http://www.moderngraham.com/2015/01/05/viacom-inc-annual-valuation-2015-viab/"/>
    <hyperlink ref="B510" r:id="rId509" display="http://www.moderngraham.com/2016/02/10/valero-energy-corp-valuation-february-2016-vlo/"/>
    <hyperlink ref="B511" r:id="rId510" display="http://www.moderngraham.com/2015/05/20/vulcan-materials-company-annual-valuation-2015-vmc/"/>
    <hyperlink ref="B512" r:id="rId511" display="http://www.moderngraham.com/2015/05/18/vornado-realty-trust-annual-valuation-2015-vno/"/>
    <hyperlink ref="B513" r:id="rId512" display="http://www.moderngraham.com/2015/06/09/verisign-inc-analysis-2015-update-vrsn/"/>
    <hyperlink ref="B514" r:id="rId513" display="http://www.moderngraham.com/2015/07/17/vertex-pharmaceuticals-analysis-july-2015-update-vrtx/"/>
    <hyperlink ref="B515" r:id="rId514" display="http://www.moderngraham.com/2015/07/29/ventas-inc-analysis-2015-update-vtr/"/>
    <hyperlink ref="B516" r:id="rId515" display="http://www.moderngraham.com/2015/03/06/verizon-communications-annual-valuation-2015-vz/"/>
    <hyperlink ref="B517" r:id="rId516" display="http://www.moderngraham.com/2015/09/22/waters-corporation-analysis-september-2015-update-wat/"/>
    <hyperlink ref="B518" r:id="rId517" display="http://www.moderngraham.com/2015/05/10/walgreens-boots-alliance-inc-annual-valuation-2015-wba/"/>
    <hyperlink ref="B519" r:id="rId518" display="http://www.moderngraham.com/2016/02/11/western-digital-corp-valuation-february-2016/"/>
    <hyperlink ref="B520" r:id="rId519" display="http://www.moderngraham.com/2015/04/10/wisconsin-energy-corporation-annual-valuation-2015-wec/"/>
    <hyperlink ref="B521" r:id="rId520" display="http://www.moderngraham.com/2015/12/11/wells-fargo-co-valuation-december-2015-update-wfc/"/>
    <hyperlink ref="B522" r:id="rId521" display="http://www.moderngraham.com/2015/10/29/whole-foods-market-inc-valuation-october-2015-update-wfm/"/>
    <hyperlink ref="B523" r:id="rId522" display="http://www.moderngraham.com/2015/08/06/whirlpool-corporation-analysis-2015-update-whr/"/>
    <hyperlink ref="B524" r:id="rId523" display="http://www.moderngraham.com/2015/06/23/windstream-holdings-analysis-2015-update-win/"/>
    <hyperlink ref="B525" r:id="rId524" display="http://www.moderngraham.com/2015/07/18/waste-management-inc-analysis-2015-update-wm/"/>
    <hyperlink ref="B526" r:id="rId525" display="http://www.moderngraham.com/2015/02/02/williams-companies-annual-valuation-2015-wmb/"/>
    <hyperlink ref="B527" r:id="rId526" display="http://www.moderngraham.com/2015/11/18/wal-mart-stores-inc-valuation-november-2015-update-wmt/"/>
    <hyperlink ref="B528" r:id="rId527" display="http://www.moderngraham.com/2015/10/29/western-refining-inc-valuation-october-2015-update-wnr/"/>
    <hyperlink ref="B529" r:id="rId528" display="http://www.moderngraham.com/2015/07/29/wpx-energy-inc-analysis-2015-update-wpx/"/>
    <hyperlink ref="B530" r:id="rId529" display="http://www.moderngraham.com/2015/07/28/westar-energy-inc-analysis-initial-coverage-wr/"/>
    <hyperlink ref="B531" r:id="rId530" display="http://www.moderngraham.com/2016/01/26/westrock-co-valuation-january-2016-update-wrk/"/>
    <hyperlink ref="B532" r:id="rId531" display="http://www.moderngraham.com/2015/08/06/western-union-company-analysis-2015-update-wu/"/>
    <hyperlink ref="B533" r:id="rId532" display="http://www.moderngraham.com/2015/09/24/wolverine-world-wide-inc-analysis-september-2015-update-www/"/>
    <hyperlink ref="B534" r:id="rId533" display="http://www.moderngraham.com/2015/11/16/weyerhaeuser-co-valuation-november-2015-update-wy/"/>
    <hyperlink ref="B535" r:id="rId534" display="http://www.moderngraham.com/2015/08/21/wyndham-worldwide-corporation-analysis-august-2015-update-wyn/"/>
    <hyperlink ref="B536" r:id="rId535" display="http://www.moderngraham.com/2016/02/09/wynn-resorts-ltd-valuation-february-2016-wynn/"/>
    <hyperlink ref="B537" r:id="rId536" display="http://www.moderngraham.com/2015/02/16/united-states-steel-corporation-annual-valuation-2015-x/"/>
    <hyperlink ref="B538" r:id="rId537" display="http://www.moderngraham.com/2015/09/23/xcel-energy-inc-analysis-september-2015-update-xel/"/>
    <hyperlink ref="B539" r:id="rId538" display="http://www.moderngraham.com/2015/03/31/xl-group-annual-valuation-2015-xl/"/>
    <hyperlink ref="B540" r:id="rId539" display="http://www.moderngraham.com/2016/02/11/xilinx-inc-valuation-february-2016-xlnx/"/>
    <hyperlink ref="B541" r:id="rId540" display="http://www.moderngraham.com/2015/06/04/exxon-mobil-corporation-analysis-2015-annual-update-xom/"/>
    <hyperlink ref="B542" r:id="rId541" display="http://www.moderngraham.com/2015/11/19/dentsply-international-inc-valuation-november-2015-update-xray/"/>
    <hyperlink ref="B543" r:id="rId542" display="http://www.moderngraham.com/2015/01/28/xerox-corporation-annual-valuation-2015-xrx/"/>
    <hyperlink ref="B544" r:id="rId543" display="http://www.moderngraham.com/2016/01/26/xylem-inc-valuation-january-2016-update-xyl/"/>
    <hyperlink ref="B545" r:id="rId544" display="http://www.moderngraham.com/2015/11/17/yahoo-inc-valuation-november-2015-update-yhoo/"/>
    <hyperlink ref="B546" r:id="rId545" display="http://www.moderngraham.com/2015/03/11/yum-brands-inc-annual-valuation-2015-yum/"/>
    <hyperlink ref="B547" r:id="rId546" display="http://www.moderngraham.com/2015/09/24/zimmer-biomet-holdings-inc-analysis-september-2015-update-zbh/"/>
    <hyperlink ref="B548" r:id="rId547" display="http://www.moderngraham.com/2015/02/17/zions-bancorporation-annual-valuation-2015-zion/"/>
    <hyperlink ref="B549" r:id="rId548" display="http://www.moderngraham.com/2015/10/28/zoetis-inc-valuation-october-2015-update-zts/"/>
  </hyperlinks>
  <pageMargins left="0.7" right="0.7" top="0.75" bottom="0.75" header="0.51180555555555551" footer="0.51180555555555551"/>
  <pageSetup firstPageNumber="0" orientation="portrait" horizontalDpi="300" verticalDpi="300" r:id="rId54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C2" sqref="C2:R2"/>
    </sheetView>
  </sheetViews>
  <sheetFormatPr defaultRowHeight="14.4" x14ac:dyDescent="0.55000000000000004"/>
  <cols>
    <col min="2" max="2" width="25.83984375" bestFit="1" customWidth="1"/>
    <col min="3" max="3" width="25.83984375" customWidth="1"/>
    <col min="4" max="4" width="8.26171875" bestFit="1" customWidth="1"/>
    <col min="5" max="5" width="8.15625" bestFit="1" customWidth="1"/>
    <col min="6" max="6" width="7.68359375" bestFit="1" customWidth="1"/>
    <col min="7" max="7" width="14.26171875" style="21" bestFit="1" customWidth="1"/>
    <col min="8" max="8" width="9.578125" style="16" bestFit="1" customWidth="1"/>
    <col min="9" max="9" width="9" style="16" bestFit="1" customWidth="1"/>
    <col min="10" max="10" width="15.83984375" style="8" bestFit="1" customWidth="1"/>
    <col min="11" max="11" width="6" bestFit="1" customWidth="1"/>
    <col min="12" max="12" width="9.26171875" style="8" bestFit="1" customWidth="1"/>
    <col min="13" max="13" width="5" bestFit="1" customWidth="1"/>
    <col min="14" max="14" width="7.68359375" bestFit="1" customWidth="1"/>
    <col min="15" max="15" width="8.68359375" style="16" bestFit="1" customWidth="1"/>
    <col min="16" max="16" width="15" style="8" bestFit="1" customWidth="1"/>
    <col min="17" max="17" width="18.578125" bestFit="1" customWidth="1"/>
    <col min="18" max="18" width="9" style="16" bestFit="1" customWidth="1"/>
  </cols>
  <sheetData>
    <row r="1" spans="1:18" s="31" customFormat="1" ht="33.75" customHeight="1" x14ac:dyDescent="0.55000000000000004">
      <c r="A1" s="27" t="str">
        <f>'MG Universe'!A1</f>
        <v>Ticker</v>
      </c>
      <c r="B1" s="27" t="str">
        <f>'MG Universe'!B1</f>
        <v>Name with Link</v>
      </c>
      <c r="C1" s="27" t="s">
        <v>21</v>
      </c>
      <c r="D1" s="27" t="str">
        <f>'MG Universe'!D1</f>
        <v>Investor Type</v>
      </c>
      <c r="E1" s="27" t="str">
        <f>'MG Universe'!E1</f>
        <v>MG Opinion</v>
      </c>
      <c r="F1" s="27" t="str">
        <f>'MG Universe'!F1</f>
        <v>Full MG Rating</v>
      </c>
      <c r="G1" s="28" t="str">
        <f>'MG Universe'!G1</f>
        <v>Latest Valuation Date</v>
      </c>
      <c r="H1" s="29" t="str">
        <f>'MG Universe'!H1</f>
        <v>MG Value</v>
      </c>
      <c r="I1" s="29" t="str">
        <f>'MG Universe'!I1</f>
        <v>Recent Price</v>
      </c>
      <c r="J1" s="30" t="str">
        <f>'MG Universe'!J1</f>
        <v>Price as a percent of Value</v>
      </c>
      <c r="K1" s="27" t="str">
        <f>'MG Universe'!K1</f>
        <v>PEmg Ratio</v>
      </c>
      <c r="L1" s="30" t="str">
        <f>'MG Universe'!L1</f>
        <v>Div. Yield</v>
      </c>
      <c r="M1" s="27" t="str">
        <f>'MG Universe'!M1</f>
        <v>Beta</v>
      </c>
      <c r="N1" s="27" t="str">
        <f>'MG Universe'!N1</f>
        <v>Current Ratio</v>
      </c>
      <c r="O1" s="29" t="str">
        <f>'MG Universe'!O1</f>
        <v>NCAV</v>
      </c>
      <c r="P1" s="30" t="str">
        <f>'MG Universe'!P1</f>
        <v>Market-implied Growth Rate</v>
      </c>
      <c r="Q1" s="27" t="str">
        <f>'MG Universe'!Q1</f>
        <v>Consecutive Years of Dividend Growth</v>
      </c>
      <c r="R1" s="29" t="str">
        <f>'MG Universe'!R1</f>
        <v>Graham Number</v>
      </c>
    </row>
    <row r="2" spans="1:18" x14ac:dyDescent="0.55000000000000004">
      <c r="A2" s="18" t="s">
        <v>151</v>
      </c>
      <c r="B2" s="19" t="str">
        <f>VLOOKUP($A2,'MG Universe'!$A$2:$R$9994,2)</f>
        <v>American Express Company</v>
      </c>
      <c r="C2" s="19" t="str">
        <f>VLOOKUP($A2,'MG Universe'!$A$2:$R$9994,3)</f>
        <v>B</v>
      </c>
      <c r="D2" s="19" t="str">
        <f>VLOOKUP($A2,'MG Universe'!$A$2:$R$9994,4)</f>
        <v>E</v>
      </c>
      <c r="E2" s="19" t="str">
        <f>VLOOKUP($A2,'MG Universe'!$A$2:$R$9994,5)</f>
        <v>U</v>
      </c>
      <c r="F2" s="20" t="str">
        <f>VLOOKUP($A2,'MG Universe'!$A$2:$R$9994,6)</f>
        <v>EU</v>
      </c>
      <c r="G2" s="103">
        <f>VLOOKUP($A2,'MG Universe'!$A$2:$R$9994,7)</f>
        <v>42306</v>
      </c>
      <c r="H2" s="22">
        <f>VLOOKUP($A2,'MG Universe'!$A$2:$R$9994,8)</f>
        <v>103.25</v>
      </c>
      <c r="I2" s="22">
        <f>VLOOKUP($A2,'MG Universe'!$A$2:$R$9994,9)</f>
        <v>57.1</v>
      </c>
      <c r="J2" s="23">
        <f>VLOOKUP($A2,'MG Universe'!$A$2:$R$9994,10)</f>
        <v>0.55300000000000005</v>
      </c>
      <c r="K2" s="105">
        <f>VLOOKUP($A2,'MG Universe'!$A$2:$R$9994,11)</f>
        <v>12.49</v>
      </c>
      <c r="L2" s="23">
        <f>VLOOKUP($A2,'MG Universe'!$A$2:$R$9994,12)</f>
        <v>2.0299999999999999E-2</v>
      </c>
      <c r="M2" s="106">
        <f>VLOOKUP($A2,'MG Universe'!$A$2:$R$9994,13)</f>
        <v>1.1000000000000001</v>
      </c>
      <c r="N2" s="107" t="str">
        <f>VLOOKUP($A2,'MG Universe'!$A$2:$R$9994,14)</f>
        <v>N/A</v>
      </c>
      <c r="O2" s="22" t="str">
        <f>VLOOKUP($A2,'MG Universe'!$A$2:$R$9994,15)</f>
        <v>N/A</v>
      </c>
      <c r="P2" s="23">
        <f>VLOOKUP($A2,'MG Universe'!$A$2:$R$9994,16)</f>
        <v>0.02</v>
      </c>
      <c r="Q2" s="109">
        <f>VLOOKUP($A2,'MG Universe'!$A$2:$R$9994,17)</f>
        <v>2</v>
      </c>
      <c r="R2" s="22">
        <f>VLOOKUP($A2,'MG Universe'!$A$2:$R$9994,18)</f>
        <v>43.17</v>
      </c>
    </row>
    <row r="3" spans="1:18" x14ac:dyDescent="0.55000000000000004">
      <c r="A3" s="18" t="s">
        <v>349</v>
      </c>
      <c r="B3" s="19" t="str">
        <f>VLOOKUP($A3,'MG Universe'!$A$2:$R$9994,2)</f>
        <v>Apple Inc.</v>
      </c>
      <c r="C3" s="19" t="str">
        <f>VLOOKUP($A3,'MG Universe'!$A$2:$R$9994,3)</f>
        <v>C</v>
      </c>
      <c r="D3" s="19" t="str">
        <f>VLOOKUP($A3,'MG Universe'!$A$2:$R$9994,4)</f>
        <v>S</v>
      </c>
      <c r="E3" s="19" t="str">
        <f>VLOOKUP($A3,'MG Universe'!$A$2:$R$9994,5)</f>
        <v>U</v>
      </c>
      <c r="F3" s="20" t="str">
        <f>VLOOKUP($A3,'MG Universe'!$A$2:$R$9994,6)</f>
        <v>SU</v>
      </c>
      <c r="G3" s="103">
        <f>VLOOKUP($A3,'MG Universe'!$A$2:$R$9994,7)</f>
        <v>42409</v>
      </c>
      <c r="H3" s="22">
        <f>VLOOKUP($A3,'MG Universe'!$A$2:$R$9994,8)</f>
        <v>297.73</v>
      </c>
      <c r="I3" s="22">
        <f>VLOOKUP($A3,'MG Universe'!$A$2:$R$9994,9)</f>
        <v>100.75</v>
      </c>
      <c r="J3" s="23">
        <f>VLOOKUP($A3,'MG Universe'!$A$2:$R$9994,10)</f>
        <v>0.33839999999999998</v>
      </c>
      <c r="K3" s="105">
        <f>VLOOKUP($A3,'MG Universe'!$A$2:$R$9994,11)</f>
        <v>13.03</v>
      </c>
      <c r="L3" s="23">
        <f>VLOOKUP($A3,'MG Universe'!$A$2:$R$9994,12)</f>
        <v>2.06E-2</v>
      </c>
      <c r="M3" s="106">
        <f>VLOOKUP($A3,'MG Universe'!$A$2:$R$9994,13)</f>
        <v>1</v>
      </c>
      <c r="N3" s="107">
        <f>VLOOKUP($A3,'MG Universe'!$A$2:$R$9994,14)</f>
        <v>1</v>
      </c>
      <c r="O3" s="22">
        <f>VLOOKUP($A3,'MG Universe'!$A$2:$R$9994,15)</f>
        <v>-15.87</v>
      </c>
      <c r="P3" s="23">
        <f>VLOOKUP($A3,'MG Universe'!$A$2:$R$9994,16)</f>
        <v>2.2700000000000001E-2</v>
      </c>
      <c r="Q3" s="109">
        <f>VLOOKUP($A3,'MG Universe'!$A$2:$R$9994,17)</f>
        <v>5</v>
      </c>
      <c r="R3" s="22">
        <f>VLOOKUP($A3,'MG Universe'!$A$2:$R$9994,18)</f>
        <v>66.2</v>
      </c>
    </row>
    <row r="4" spans="1:18" x14ac:dyDescent="0.55000000000000004">
      <c r="A4" s="18" t="s">
        <v>223</v>
      </c>
      <c r="B4" s="19" t="str">
        <f>VLOOKUP($A4,'MG Universe'!$A$2:$R$9994,2)</f>
        <v>Boeing Co</v>
      </c>
      <c r="C4" s="19" t="str">
        <f>VLOOKUP($A4,'MG Universe'!$A$2:$R$9994,3)</f>
        <v>B-</v>
      </c>
      <c r="D4" s="19" t="str">
        <f>VLOOKUP($A4,'MG Universe'!$A$2:$R$9994,4)</f>
        <v>E</v>
      </c>
      <c r="E4" s="19" t="str">
        <f>VLOOKUP($A4,'MG Universe'!$A$2:$R$9994,5)</f>
        <v>U</v>
      </c>
      <c r="F4" s="20" t="str">
        <f>VLOOKUP($A4,'MG Universe'!$A$2:$R$9994,6)</f>
        <v>EU</v>
      </c>
      <c r="G4" s="103">
        <f>VLOOKUP($A4,'MG Universe'!$A$2:$R$9994,7)</f>
        <v>42332</v>
      </c>
      <c r="H4" s="22">
        <f>VLOOKUP($A4,'MG Universe'!$A$2:$R$9994,8)</f>
        <v>188.84</v>
      </c>
      <c r="I4" s="22">
        <f>VLOOKUP($A4,'MG Universe'!$A$2:$R$9994,9)</f>
        <v>119.58</v>
      </c>
      <c r="J4" s="23">
        <f>VLOOKUP($A4,'MG Universe'!$A$2:$R$9994,10)</f>
        <v>0.63319999999999999</v>
      </c>
      <c r="K4" s="105">
        <f>VLOOKUP($A4,'MG Universe'!$A$2:$R$9994,11)</f>
        <v>17.48</v>
      </c>
      <c r="L4" s="23">
        <f>VLOOKUP($A4,'MG Universe'!$A$2:$R$9994,12)</f>
        <v>3.6499999999999998E-2</v>
      </c>
      <c r="M4" s="106">
        <f>VLOOKUP($A4,'MG Universe'!$A$2:$R$9994,13)</f>
        <v>1.1000000000000001</v>
      </c>
      <c r="N4" s="107">
        <f>VLOOKUP($A4,'MG Universe'!$A$2:$R$9994,14)</f>
        <v>1.17</v>
      </c>
      <c r="O4" s="22">
        <f>VLOOKUP($A4,'MG Universe'!$A$2:$R$9994,15)</f>
        <v>-35.89</v>
      </c>
      <c r="P4" s="23">
        <f>VLOOKUP($A4,'MG Universe'!$A$2:$R$9994,16)</f>
        <v>4.4900000000000002E-2</v>
      </c>
      <c r="Q4" s="109">
        <f>VLOOKUP($A4,'MG Universe'!$A$2:$R$9994,17)</f>
        <v>4</v>
      </c>
      <c r="R4" s="22">
        <f>VLOOKUP($A4,'MG Universe'!$A$2:$R$9994,18)</f>
        <v>42.32</v>
      </c>
    </row>
    <row r="5" spans="1:18" x14ac:dyDescent="0.55000000000000004">
      <c r="A5" s="18" t="s">
        <v>496</v>
      </c>
      <c r="B5" s="19" t="str">
        <f>VLOOKUP($A5,'MG Universe'!$A$2:$R$9994,2)</f>
        <v>Caterpillar Inc.</v>
      </c>
      <c r="C5" s="19" t="str">
        <f>VLOOKUP($A5,'MG Universe'!$A$2:$R$9994,3)</f>
        <v>C-</v>
      </c>
      <c r="D5" s="19" t="str">
        <f>VLOOKUP($A5,'MG Universe'!$A$2:$R$9994,4)</f>
        <v>S</v>
      </c>
      <c r="E5" s="19" t="str">
        <f>VLOOKUP($A5,'MG Universe'!$A$2:$R$9994,5)</f>
        <v>F</v>
      </c>
      <c r="F5" s="20" t="str">
        <f>VLOOKUP($A5,'MG Universe'!$A$2:$R$9994,6)</f>
        <v>SF</v>
      </c>
      <c r="G5" s="103">
        <f>VLOOKUP($A5,'MG Universe'!$A$2:$R$9994,7)</f>
        <v>42206</v>
      </c>
      <c r="H5" s="22">
        <f>VLOOKUP($A5,'MG Universe'!$A$2:$R$9994,8)</f>
        <v>82.62</v>
      </c>
      <c r="I5" s="22">
        <f>VLOOKUP($A5,'MG Universe'!$A$2:$R$9994,9)</f>
        <v>69.37</v>
      </c>
      <c r="J5" s="23">
        <f>VLOOKUP($A5,'MG Universe'!$A$2:$R$9994,10)</f>
        <v>0.83960000000000001</v>
      </c>
      <c r="K5" s="105">
        <f>VLOOKUP($A5,'MG Universe'!$A$2:$R$9994,11)</f>
        <v>11.78</v>
      </c>
      <c r="L5" s="23">
        <f>VLOOKUP($A5,'MG Universe'!$A$2:$R$9994,12)</f>
        <v>4.4400000000000002E-2</v>
      </c>
      <c r="M5" s="106">
        <f>VLOOKUP($A5,'MG Universe'!$A$2:$R$9994,13)</f>
        <v>1.6</v>
      </c>
      <c r="N5" s="107">
        <f>VLOOKUP($A5,'MG Universe'!$A$2:$R$9994,14)</f>
        <v>1.45</v>
      </c>
      <c r="O5" s="22">
        <f>VLOOKUP($A5,'MG Universe'!$A$2:$R$9994,15)</f>
        <v>-44.13</v>
      </c>
      <c r="P5" s="23">
        <f>VLOOKUP($A5,'MG Universe'!$A$2:$R$9994,16)</f>
        <v>1.6400000000000001E-2</v>
      </c>
      <c r="Q5" s="109">
        <f>VLOOKUP($A5,'MG Universe'!$A$2:$R$9994,17)</f>
        <v>0</v>
      </c>
      <c r="R5" s="22">
        <f>VLOOKUP($A5,'MG Universe'!$A$2:$R$9994,18)</f>
        <v>0</v>
      </c>
    </row>
    <row r="6" spans="1:18" x14ac:dyDescent="0.55000000000000004">
      <c r="A6" s="18" t="s">
        <v>159</v>
      </c>
      <c r="B6" s="19" t="str">
        <f>VLOOKUP($A6,'MG Universe'!$A$2:$R$9994,2)</f>
        <v>Cisco Systems, Inc.</v>
      </c>
      <c r="C6" s="19" t="str">
        <f>VLOOKUP($A6,'MG Universe'!$A$2:$R$9994,3)</f>
        <v>B</v>
      </c>
      <c r="D6" s="19" t="str">
        <f>VLOOKUP($A6,'MG Universe'!$A$2:$R$9994,4)</f>
        <v>D</v>
      </c>
      <c r="E6" s="19" t="str">
        <f>VLOOKUP($A6,'MG Universe'!$A$2:$R$9994,5)</f>
        <v>F</v>
      </c>
      <c r="F6" s="20" t="str">
        <f>VLOOKUP($A6,'MG Universe'!$A$2:$R$9994,6)</f>
        <v>DF</v>
      </c>
      <c r="G6" s="103">
        <f>VLOOKUP($A6,'MG Universe'!$A$2:$R$9994,7)</f>
        <v>42405</v>
      </c>
      <c r="H6" s="22">
        <f>VLOOKUP($A6,'MG Universe'!$A$2:$R$9994,8)</f>
        <v>35.06</v>
      </c>
      <c r="I6" s="22">
        <f>VLOOKUP($A6,'MG Universe'!$A$2:$R$9994,9)</f>
        <v>26.9</v>
      </c>
      <c r="J6" s="23">
        <f>VLOOKUP($A6,'MG Universe'!$A$2:$R$9994,10)</f>
        <v>0.76729999999999998</v>
      </c>
      <c r="K6" s="105">
        <f>VLOOKUP($A6,'MG Universe'!$A$2:$R$9994,11)</f>
        <v>15.03</v>
      </c>
      <c r="L6" s="23">
        <f>VLOOKUP($A6,'MG Universe'!$A$2:$R$9994,12)</f>
        <v>3.8699999999999998E-2</v>
      </c>
      <c r="M6" s="106">
        <f>VLOOKUP($A6,'MG Universe'!$A$2:$R$9994,13)</f>
        <v>1.3</v>
      </c>
      <c r="N6" s="107">
        <f>VLOOKUP($A6,'MG Universe'!$A$2:$R$9994,14)</f>
        <v>3.35</v>
      </c>
      <c r="O6" s="22">
        <f>VLOOKUP($A6,'MG Universe'!$A$2:$R$9994,15)</f>
        <v>4.33</v>
      </c>
      <c r="P6" s="23">
        <f>VLOOKUP($A6,'MG Universe'!$A$2:$R$9994,16)</f>
        <v>3.2599999999999997E-2</v>
      </c>
      <c r="Q6" s="109">
        <f>VLOOKUP($A6,'MG Universe'!$A$2:$R$9994,17)</f>
        <v>6</v>
      </c>
      <c r="R6" s="22">
        <f>VLOOKUP($A6,'MG Universe'!$A$2:$R$9994,18)</f>
        <v>23.16</v>
      </c>
    </row>
    <row r="7" spans="1:18" x14ac:dyDescent="0.55000000000000004">
      <c r="A7" s="18" t="s">
        <v>870</v>
      </c>
      <c r="B7" s="19" t="str">
        <f>VLOOKUP($A7,'MG Universe'!$A$2:$R$9994,2)</f>
        <v>Chevron Corporation</v>
      </c>
      <c r="C7" s="19" t="str">
        <f>VLOOKUP($A7,'MG Universe'!$A$2:$R$9994,3)</f>
        <v>D+</v>
      </c>
      <c r="D7" s="19" t="str">
        <f>VLOOKUP($A7,'MG Universe'!$A$2:$R$9994,4)</f>
        <v>S</v>
      </c>
      <c r="E7" s="19" t="str">
        <f>VLOOKUP($A7,'MG Universe'!$A$2:$R$9994,5)</f>
        <v>O</v>
      </c>
      <c r="F7" s="20" t="str">
        <f>VLOOKUP($A7,'MG Universe'!$A$2:$R$9994,6)</f>
        <v>SO</v>
      </c>
      <c r="G7" s="103">
        <f>VLOOKUP($A7,'MG Universe'!$A$2:$R$9994,7)</f>
        <v>42157</v>
      </c>
      <c r="H7" s="22">
        <f>VLOOKUP($A7,'MG Universe'!$A$2:$R$9994,8)</f>
        <v>33.69</v>
      </c>
      <c r="I7" s="22">
        <f>VLOOKUP($A7,'MG Universe'!$A$2:$R$9994,9)</f>
        <v>87.15</v>
      </c>
      <c r="J7" s="23">
        <f>VLOOKUP($A7,'MG Universe'!$A$2:$R$9994,10)</f>
        <v>2.5868000000000002</v>
      </c>
      <c r="K7" s="105">
        <f>VLOOKUP($A7,'MG Universe'!$A$2:$R$9994,11)</f>
        <v>10.1</v>
      </c>
      <c r="L7" s="23">
        <f>VLOOKUP($A7,'MG Universe'!$A$2:$R$9994,12)</f>
        <v>4.9099999999999998E-2</v>
      </c>
      <c r="M7" s="106">
        <f>VLOOKUP($A7,'MG Universe'!$A$2:$R$9994,13)</f>
        <v>1.1000000000000001</v>
      </c>
      <c r="N7" s="107">
        <f>VLOOKUP($A7,'MG Universe'!$A$2:$R$9994,14)</f>
        <v>1.4</v>
      </c>
      <c r="O7" s="22">
        <f>VLOOKUP($A7,'MG Universe'!$A$2:$R$9994,15)</f>
        <v>-38.65</v>
      </c>
      <c r="P7" s="23">
        <f>VLOOKUP($A7,'MG Universe'!$A$2:$R$9994,16)</f>
        <v>8.0000000000000002E-3</v>
      </c>
      <c r="Q7" s="109">
        <f>VLOOKUP($A7,'MG Universe'!$A$2:$R$9994,17)</f>
        <v>0</v>
      </c>
      <c r="R7" s="22">
        <f>VLOOKUP($A7,'MG Universe'!$A$2:$R$9994,18)</f>
        <v>0</v>
      </c>
    </row>
    <row r="8" spans="1:18" x14ac:dyDescent="0.55000000000000004">
      <c r="A8" s="18" t="s">
        <v>23</v>
      </c>
      <c r="B8" s="19" t="str">
        <f>VLOOKUP($A8,'MG Universe'!$A$2:$R$9994,2)</f>
        <v>E I Du Pont De Nemours And Co</v>
      </c>
      <c r="C8" s="19" t="str">
        <f>VLOOKUP($A8,'MG Universe'!$A$2:$R$9994,3)</f>
        <v>C+</v>
      </c>
      <c r="D8" s="19" t="str">
        <f>VLOOKUP($A8,'MG Universe'!$A$2:$R$9994,4)</f>
        <v>E</v>
      </c>
      <c r="E8" s="19" t="str">
        <f>VLOOKUP($A8,'MG Universe'!$A$2:$R$9994,5)</f>
        <v>O</v>
      </c>
      <c r="F8" s="20" t="str">
        <f>VLOOKUP($A8,'MG Universe'!$A$2:$R$9994,6)</f>
        <v>EO</v>
      </c>
      <c r="G8" s="103">
        <f>VLOOKUP($A8,'MG Universe'!$A$2:$R$9994,7)</f>
        <v>42426</v>
      </c>
      <c r="H8" s="22">
        <f>VLOOKUP($A8,'MG Universe'!$A$2:$R$9994,8)</f>
        <v>33.74</v>
      </c>
      <c r="I8" s="22">
        <f>VLOOKUP($A8,'MG Universe'!$A$2:$R$9994,9)</f>
        <v>62.17</v>
      </c>
      <c r="J8" s="23">
        <f>VLOOKUP($A8,'MG Universe'!$A$2:$R$9994,10)</f>
        <v>1.8426</v>
      </c>
      <c r="K8" s="105">
        <f>VLOOKUP($A8,'MG Universe'!$A$2:$R$9994,11)</f>
        <v>19.37</v>
      </c>
      <c r="L8" s="23">
        <f>VLOOKUP($A8,'MG Universe'!$A$2:$R$9994,12)</f>
        <v>2.4400000000000002E-2</v>
      </c>
      <c r="M8" s="106">
        <f>VLOOKUP($A8,'MG Universe'!$A$2:$R$9994,13)</f>
        <v>1.8</v>
      </c>
      <c r="N8" s="107">
        <f>VLOOKUP($A8,'MG Universe'!$A$2:$R$9994,14)</f>
        <v>1.71</v>
      </c>
      <c r="O8" s="22">
        <f>VLOOKUP($A8,'MG Universe'!$A$2:$R$9994,15)</f>
        <v>-14.92</v>
      </c>
      <c r="P8" s="23">
        <f>VLOOKUP($A8,'MG Universe'!$A$2:$R$9994,16)</f>
        <v>5.4300000000000001E-2</v>
      </c>
      <c r="Q8" s="109">
        <f>VLOOKUP($A8,'MG Universe'!$A$2:$R$9994,17)</f>
        <v>0</v>
      </c>
      <c r="R8" s="22">
        <f>VLOOKUP($A8,'MG Universe'!$A$2:$R$9994,18)</f>
        <v>27.03</v>
      </c>
    </row>
    <row r="9" spans="1:18" x14ac:dyDescent="0.55000000000000004">
      <c r="A9" s="18" t="s">
        <v>518</v>
      </c>
      <c r="B9" s="19" t="str">
        <f>VLOOKUP($A9,'MG Universe'!$A$2:$R$9994,2)</f>
        <v>Walt Disney Co</v>
      </c>
      <c r="C9" s="19" t="str">
        <f>VLOOKUP($A9,'MG Universe'!$A$2:$R$9994,3)</f>
        <v>C-</v>
      </c>
      <c r="D9" s="19" t="str">
        <f>VLOOKUP($A9,'MG Universe'!$A$2:$R$9994,4)</f>
        <v>S</v>
      </c>
      <c r="E9" s="19" t="str">
        <f>VLOOKUP($A9,'MG Universe'!$A$2:$R$9994,5)</f>
        <v>U</v>
      </c>
      <c r="F9" s="20" t="str">
        <f>VLOOKUP($A9,'MG Universe'!$A$2:$R$9994,6)</f>
        <v>SU</v>
      </c>
      <c r="G9" s="103">
        <f>VLOOKUP($A9,'MG Universe'!$A$2:$R$9994,7)</f>
        <v>42348</v>
      </c>
      <c r="H9" s="22">
        <f>VLOOKUP($A9,'MG Universe'!$A$2:$R$9994,8)</f>
        <v>157.29</v>
      </c>
      <c r="I9" s="22">
        <f>VLOOKUP($A9,'MG Universe'!$A$2:$R$9994,9)</f>
        <v>97.05</v>
      </c>
      <c r="J9" s="23">
        <f>VLOOKUP($A9,'MG Universe'!$A$2:$R$9994,10)</f>
        <v>0.61699999999999999</v>
      </c>
      <c r="K9" s="105">
        <f>VLOOKUP($A9,'MG Universe'!$A$2:$R$9994,11)</f>
        <v>20.96</v>
      </c>
      <c r="L9" s="23">
        <f>VLOOKUP($A9,'MG Universe'!$A$2:$R$9994,12)</f>
        <v>1.46E-2</v>
      </c>
      <c r="M9" s="106">
        <f>VLOOKUP($A9,'MG Universe'!$A$2:$R$9994,13)</f>
        <v>1.4</v>
      </c>
      <c r="N9" s="107">
        <f>VLOOKUP($A9,'MG Universe'!$A$2:$R$9994,14)</f>
        <v>1.03</v>
      </c>
      <c r="O9" s="22">
        <f>VLOOKUP($A9,'MG Universe'!$A$2:$R$9994,15)</f>
        <v>-15.88</v>
      </c>
      <c r="P9" s="23">
        <f>VLOOKUP($A9,'MG Universe'!$A$2:$R$9994,16)</f>
        <v>6.2300000000000001E-2</v>
      </c>
      <c r="Q9" s="109">
        <f>VLOOKUP($A9,'MG Universe'!$A$2:$R$9994,17)</f>
        <v>6</v>
      </c>
      <c r="R9" s="22">
        <f>VLOOKUP($A9,'MG Universe'!$A$2:$R$9994,18)</f>
        <v>58.42</v>
      </c>
    </row>
    <row r="10" spans="1:18" x14ac:dyDescent="0.55000000000000004">
      <c r="A10" s="18" t="s">
        <v>772</v>
      </c>
      <c r="B10" s="19" t="str">
        <f>VLOOKUP($A10,'MG Universe'!$A$2:$R$9994,2)</f>
        <v>General Electric Company</v>
      </c>
      <c r="C10" s="19" t="str">
        <f>VLOOKUP($A10,'MG Universe'!$A$2:$R$9994,3)</f>
        <v>D</v>
      </c>
      <c r="D10" s="19" t="str">
        <f>VLOOKUP($A10,'MG Universe'!$A$2:$R$9994,4)</f>
        <v>S</v>
      </c>
      <c r="E10" s="19" t="str">
        <f>VLOOKUP($A10,'MG Universe'!$A$2:$R$9994,5)</f>
        <v>O</v>
      </c>
      <c r="F10" s="20" t="str">
        <f>VLOOKUP($A10,'MG Universe'!$A$2:$R$9994,6)</f>
        <v>SO</v>
      </c>
      <c r="G10" s="103">
        <f>VLOOKUP($A10,'MG Universe'!$A$2:$R$9994,7)</f>
        <v>42065</v>
      </c>
      <c r="H10" s="22">
        <f>VLOOKUP($A10,'MG Universe'!$A$2:$R$9994,8)</f>
        <v>9.65</v>
      </c>
      <c r="I10" s="22">
        <f>VLOOKUP($A10,'MG Universe'!$A$2:$R$9994,9)</f>
        <v>30.17</v>
      </c>
      <c r="J10" s="23">
        <f>VLOOKUP($A10,'MG Universe'!$A$2:$R$9994,10)</f>
        <v>3.1263999999999998</v>
      </c>
      <c r="K10" s="105">
        <f>VLOOKUP($A10,'MG Universe'!$A$2:$R$9994,11)</f>
        <v>22.68</v>
      </c>
      <c r="L10" s="23">
        <f>VLOOKUP($A10,'MG Universe'!$A$2:$R$9994,12)</f>
        <v>3.0499999999999999E-2</v>
      </c>
      <c r="M10" s="106">
        <f>VLOOKUP($A10,'MG Universe'!$A$2:$R$9994,13)</f>
        <v>1.2</v>
      </c>
      <c r="N10" s="107">
        <f>VLOOKUP($A10,'MG Universe'!$A$2:$R$9994,14)</f>
        <v>1.1100000000000001</v>
      </c>
      <c r="O10" s="22">
        <f>VLOOKUP($A10,'MG Universe'!$A$2:$R$9994,15)</f>
        <v>-11.48</v>
      </c>
      <c r="P10" s="23">
        <f>VLOOKUP($A10,'MG Universe'!$A$2:$R$9994,16)</f>
        <v>7.0900000000000005E-2</v>
      </c>
      <c r="Q10" s="109">
        <f>VLOOKUP($A10,'MG Universe'!$A$2:$R$9994,17)</f>
        <v>0</v>
      </c>
      <c r="R10" s="22">
        <f>VLOOKUP($A10,'MG Universe'!$A$2:$R$9994,18)</f>
        <v>0</v>
      </c>
    </row>
    <row r="11" spans="1:18" x14ac:dyDescent="0.55000000000000004">
      <c r="A11" s="18" t="s">
        <v>316</v>
      </c>
      <c r="B11" s="19" t="str">
        <f>VLOOKUP($A11,'MG Universe'!$A$2:$R$9994,2)</f>
        <v>Goldman Sachs Group Inc</v>
      </c>
      <c r="C11" s="19" t="str">
        <f>VLOOKUP($A11,'MG Universe'!$A$2:$R$9994,3)</f>
        <v>B+</v>
      </c>
      <c r="D11" s="19" t="str">
        <f>VLOOKUP($A11,'MG Universe'!$A$2:$R$9994,4)</f>
        <v>E</v>
      </c>
      <c r="E11" s="19" t="str">
        <f>VLOOKUP($A11,'MG Universe'!$A$2:$R$9994,5)</f>
        <v>U</v>
      </c>
      <c r="F11" s="20" t="str">
        <f>VLOOKUP($A11,'MG Universe'!$A$2:$R$9994,6)</f>
        <v>EU</v>
      </c>
      <c r="G11" s="103">
        <f>VLOOKUP($A11,'MG Universe'!$A$2:$R$9994,7)</f>
        <v>42318</v>
      </c>
      <c r="H11" s="22">
        <f>VLOOKUP($A11,'MG Universe'!$A$2:$R$9994,8)</f>
        <v>243.19</v>
      </c>
      <c r="I11" s="22">
        <f>VLOOKUP($A11,'MG Universe'!$A$2:$R$9994,9)</f>
        <v>154.09</v>
      </c>
      <c r="J11" s="23">
        <f>VLOOKUP($A11,'MG Universe'!$A$2:$R$9994,10)</f>
        <v>0.63360000000000005</v>
      </c>
      <c r="K11" s="105">
        <f>VLOOKUP($A11,'MG Universe'!$A$2:$R$9994,11)</f>
        <v>10.42</v>
      </c>
      <c r="L11" s="23">
        <f>VLOOKUP($A11,'MG Universe'!$A$2:$R$9994,12)</f>
        <v>1.6899999999999998E-2</v>
      </c>
      <c r="M11" s="106">
        <f>VLOOKUP($A11,'MG Universe'!$A$2:$R$9994,13)</f>
        <v>1.7</v>
      </c>
      <c r="N11" s="107" t="str">
        <f>VLOOKUP($A11,'MG Universe'!$A$2:$R$9994,14)</f>
        <v>N/A</v>
      </c>
      <c r="O11" s="22" t="str">
        <f>VLOOKUP($A11,'MG Universe'!$A$2:$R$9994,15)</f>
        <v>N/A</v>
      </c>
      <c r="P11" s="23">
        <f>VLOOKUP($A11,'MG Universe'!$A$2:$R$9994,16)</f>
        <v>9.5999999999999992E-3</v>
      </c>
      <c r="Q11" s="109">
        <f>VLOOKUP($A11,'MG Universe'!$A$2:$R$9994,17)</f>
        <v>4</v>
      </c>
      <c r="R11" s="22">
        <f>VLOOKUP($A11,'MG Universe'!$A$2:$R$9994,18)</f>
        <v>243.17</v>
      </c>
    </row>
    <row r="12" spans="1:18" x14ac:dyDescent="0.55000000000000004">
      <c r="A12" s="18" t="s">
        <v>898</v>
      </c>
      <c r="B12" s="19" t="str">
        <f>VLOOKUP($A12,'MG Universe'!$A$2:$R$9994,2)</f>
        <v>Home Depot Inc</v>
      </c>
      <c r="C12" s="19" t="str">
        <f>VLOOKUP($A12,'MG Universe'!$A$2:$R$9994,3)</f>
        <v>D+</v>
      </c>
      <c r="D12" s="19" t="str">
        <f>VLOOKUP($A12,'MG Universe'!$A$2:$R$9994,4)</f>
        <v>S</v>
      </c>
      <c r="E12" s="19" t="str">
        <f>VLOOKUP($A12,'MG Universe'!$A$2:$R$9994,5)</f>
        <v>F</v>
      </c>
      <c r="F12" s="20" t="str">
        <f>VLOOKUP($A12,'MG Universe'!$A$2:$R$9994,6)</f>
        <v>SF</v>
      </c>
      <c r="G12" s="103">
        <f>VLOOKUP($A12,'MG Universe'!$A$2:$R$9994,7)</f>
        <v>42318</v>
      </c>
      <c r="H12" s="22">
        <f>VLOOKUP($A12,'MG Universe'!$A$2:$R$9994,8)</f>
        <v>166.55</v>
      </c>
      <c r="I12" s="22">
        <f>VLOOKUP($A12,'MG Universe'!$A$2:$R$9994,9)</f>
        <v>125.61</v>
      </c>
      <c r="J12" s="23">
        <f>VLOOKUP($A12,'MG Universe'!$A$2:$R$9994,10)</f>
        <v>0.75419999999999998</v>
      </c>
      <c r="K12" s="105">
        <f>VLOOKUP($A12,'MG Universe'!$A$2:$R$9994,11)</f>
        <v>29.01</v>
      </c>
      <c r="L12" s="23">
        <f>VLOOKUP($A12,'MG Universe'!$A$2:$R$9994,12)</f>
        <v>2.1999999999999999E-2</v>
      </c>
      <c r="M12" s="106">
        <f>VLOOKUP($A12,'MG Universe'!$A$2:$R$9994,13)</f>
        <v>0.9</v>
      </c>
      <c r="N12" s="107">
        <f>VLOOKUP($A12,'MG Universe'!$A$2:$R$9994,14)</f>
        <v>1.19</v>
      </c>
      <c r="O12" s="22">
        <f>VLOOKUP($A12,'MG Universe'!$A$2:$R$9994,15)</f>
        <v>-12.13</v>
      </c>
      <c r="P12" s="23">
        <f>VLOOKUP($A12,'MG Universe'!$A$2:$R$9994,16)</f>
        <v>0.10249999999999999</v>
      </c>
      <c r="Q12" s="109">
        <f>VLOOKUP($A12,'MG Universe'!$A$2:$R$9994,17)</f>
        <v>6</v>
      </c>
      <c r="R12" s="22">
        <f>VLOOKUP($A12,'MG Universe'!$A$2:$R$9994,18)</f>
        <v>28.22</v>
      </c>
    </row>
    <row r="13" spans="1:18" x14ac:dyDescent="0.55000000000000004">
      <c r="A13" s="18" t="s">
        <v>247</v>
      </c>
      <c r="B13" s="19" t="str">
        <f>VLOOKUP($A13,'MG Universe'!$A$2:$R$9994,2)</f>
        <v>International Business Machines Corp.</v>
      </c>
      <c r="C13" s="19" t="str">
        <f>VLOOKUP($A13,'MG Universe'!$A$2:$R$9994,3)</f>
        <v>B-</v>
      </c>
      <c r="D13" s="19" t="str">
        <f>VLOOKUP($A13,'MG Universe'!$A$2:$R$9994,4)</f>
        <v>S</v>
      </c>
      <c r="E13" s="19" t="str">
        <f>VLOOKUP($A13,'MG Universe'!$A$2:$R$9994,5)</f>
        <v>U</v>
      </c>
      <c r="F13" s="20" t="str">
        <f>VLOOKUP($A13,'MG Universe'!$A$2:$R$9994,6)</f>
        <v>SU</v>
      </c>
      <c r="G13" s="103">
        <f>VLOOKUP($A13,'MG Universe'!$A$2:$R$9994,7)</f>
        <v>42318</v>
      </c>
      <c r="H13" s="22">
        <f>VLOOKUP($A13,'MG Universe'!$A$2:$R$9994,8)</f>
        <v>200.54</v>
      </c>
      <c r="I13" s="22">
        <f>VLOOKUP($A13,'MG Universe'!$A$2:$R$9994,9)</f>
        <v>136.30000000000001</v>
      </c>
      <c r="J13" s="23">
        <f>VLOOKUP($A13,'MG Universe'!$A$2:$R$9994,10)</f>
        <v>0.67969999999999997</v>
      </c>
      <c r="K13" s="105">
        <f>VLOOKUP($A13,'MG Universe'!$A$2:$R$9994,11)</f>
        <v>10.130000000000001</v>
      </c>
      <c r="L13" s="23">
        <f>VLOOKUP($A13,'MG Universe'!$A$2:$R$9994,12)</f>
        <v>3.8199999999999998E-2</v>
      </c>
      <c r="M13" s="106">
        <f>VLOOKUP($A13,'MG Universe'!$A$2:$R$9994,13)</f>
        <v>0.6</v>
      </c>
      <c r="N13" s="107">
        <f>VLOOKUP($A13,'MG Universe'!$A$2:$R$9994,14)</f>
        <v>1.25</v>
      </c>
      <c r="O13" s="22">
        <f>VLOOKUP($A13,'MG Universe'!$A$2:$R$9994,15)</f>
        <v>-54.39</v>
      </c>
      <c r="P13" s="23">
        <f>VLOOKUP($A13,'MG Universe'!$A$2:$R$9994,16)</f>
        <v>8.0999999999999996E-3</v>
      </c>
      <c r="Q13" s="109">
        <f>VLOOKUP($A13,'MG Universe'!$A$2:$R$9994,17)</f>
        <v>20</v>
      </c>
      <c r="R13" s="22">
        <f>VLOOKUP($A13,'MG Universe'!$A$2:$R$9994,18)</f>
        <v>64.27</v>
      </c>
    </row>
    <row r="14" spans="1:18" x14ac:dyDescent="0.55000000000000004">
      <c r="A14" s="18" t="s">
        <v>173</v>
      </c>
      <c r="B14" s="19" t="str">
        <f>VLOOKUP($A14,'MG Universe'!$A$2:$R$9994,2)</f>
        <v>Intel Corporation</v>
      </c>
      <c r="C14" s="19" t="str">
        <f>VLOOKUP($A14,'MG Universe'!$A$2:$R$9994,3)</f>
        <v>B</v>
      </c>
      <c r="D14" s="19" t="str">
        <f>VLOOKUP($A14,'MG Universe'!$A$2:$R$9994,4)</f>
        <v>D</v>
      </c>
      <c r="E14" s="19" t="str">
        <f>VLOOKUP($A14,'MG Universe'!$A$2:$R$9994,5)</f>
        <v>F</v>
      </c>
      <c r="F14" s="20" t="str">
        <f>VLOOKUP($A14,'MG Universe'!$A$2:$R$9994,6)</f>
        <v>DF</v>
      </c>
      <c r="G14" s="103">
        <f>VLOOKUP($A14,'MG Universe'!$A$2:$R$9994,7)</f>
        <v>42326</v>
      </c>
      <c r="H14" s="22">
        <f>VLOOKUP($A14,'MG Universe'!$A$2:$R$9994,8)</f>
        <v>37.07</v>
      </c>
      <c r="I14" s="22">
        <f>VLOOKUP($A14,'MG Universe'!$A$2:$R$9994,9)</f>
        <v>30.54</v>
      </c>
      <c r="J14" s="23">
        <f>VLOOKUP($A14,'MG Universe'!$A$2:$R$9994,10)</f>
        <v>0.82379999999999998</v>
      </c>
      <c r="K14" s="105">
        <f>VLOOKUP($A14,'MG Universe'!$A$2:$R$9994,11)</f>
        <v>14.07</v>
      </c>
      <c r="L14" s="23">
        <f>VLOOKUP($A14,'MG Universe'!$A$2:$R$9994,12)</f>
        <v>3.4099999999999998E-2</v>
      </c>
      <c r="M14" s="106">
        <f>VLOOKUP($A14,'MG Universe'!$A$2:$R$9994,13)</f>
        <v>1</v>
      </c>
      <c r="N14" s="107">
        <f>VLOOKUP($A14,'MG Universe'!$A$2:$R$9994,14)</f>
        <v>2.4</v>
      </c>
      <c r="O14" s="22">
        <f>VLOOKUP($A14,'MG Universe'!$A$2:$R$9994,15)</f>
        <v>-1.08</v>
      </c>
      <c r="P14" s="23">
        <f>VLOOKUP($A14,'MG Universe'!$A$2:$R$9994,16)</f>
        <v>2.7900000000000001E-2</v>
      </c>
      <c r="Q14" s="109">
        <f>VLOOKUP($A14,'MG Universe'!$A$2:$R$9994,17)</f>
        <v>1</v>
      </c>
      <c r="R14" s="22">
        <f>VLOOKUP($A14,'MG Universe'!$A$2:$R$9994,18)</f>
        <v>24.38</v>
      </c>
    </row>
    <row r="15" spans="1:18" x14ac:dyDescent="0.55000000000000004">
      <c r="A15" s="18" t="s">
        <v>322</v>
      </c>
      <c r="B15" s="19" t="str">
        <f>VLOOKUP($A15,'MG Universe'!$A$2:$R$9994,2)</f>
        <v>Johnson &amp; Johnson</v>
      </c>
      <c r="C15" s="19" t="str">
        <f>VLOOKUP($A15,'MG Universe'!$A$2:$R$9994,3)</f>
        <v>B+</v>
      </c>
      <c r="D15" s="19" t="str">
        <f>VLOOKUP($A15,'MG Universe'!$A$2:$R$9994,4)</f>
        <v>D</v>
      </c>
      <c r="E15" s="19" t="str">
        <f>VLOOKUP($A15,'MG Universe'!$A$2:$R$9994,5)</f>
        <v>O</v>
      </c>
      <c r="F15" s="20" t="str">
        <f>VLOOKUP($A15,'MG Universe'!$A$2:$R$9994,6)</f>
        <v>DO</v>
      </c>
      <c r="G15" s="103">
        <f>VLOOKUP($A15,'MG Universe'!$A$2:$R$9994,7)</f>
        <v>42377</v>
      </c>
      <c r="H15" s="22">
        <f>VLOOKUP($A15,'MG Universe'!$A$2:$R$9994,8)</f>
        <v>79.55</v>
      </c>
      <c r="I15" s="22">
        <f>VLOOKUP($A15,'MG Universe'!$A$2:$R$9994,9)</f>
        <v>107.05</v>
      </c>
      <c r="J15" s="23">
        <f>VLOOKUP($A15,'MG Universe'!$A$2:$R$9994,10)</f>
        <v>1.3456999999999999</v>
      </c>
      <c r="K15" s="105">
        <f>VLOOKUP($A15,'MG Universe'!$A$2:$R$9994,11)</f>
        <v>20.83</v>
      </c>
      <c r="L15" s="23">
        <f>VLOOKUP($A15,'MG Universe'!$A$2:$R$9994,12)</f>
        <v>2.8000000000000001E-2</v>
      </c>
      <c r="M15" s="106">
        <f>VLOOKUP($A15,'MG Universe'!$A$2:$R$9994,13)</f>
        <v>0.6</v>
      </c>
      <c r="N15" s="107">
        <f>VLOOKUP($A15,'MG Universe'!$A$2:$R$9994,14)</f>
        <v>2.5099999999999998</v>
      </c>
      <c r="O15" s="22">
        <f>VLOOKUP($A15,'MG Universe'!$A$2:$R$9994,15)</f>
        <v>0.63</v>
      </c>
      <c r="P15" s="23">
        <f>VLOOKUP($A15,'MG Universe'!$A$2:$R$9994,16)</f>
        <v>6.1600000000000002E-2</v>
      </c>
      <c r="Q15" s="109">
        <f>VLOOKUP($A15,'MG Universe'!$A$2:$R$9994,17)</f>
        <v>20</v>
      </c>
      <c r="R15" s="22">
        <f>VLOOKUP($A15,'MG Universe'!$A$2:$R$9994,18)</f>
        <v>57.74</v>
      </c>
    </row>
    <row r="16" spans="1:18" x14ac:dyDescent="0.55000000000000004">
      <c r="A16" s="18" t="s">
        <v>55</v>
      </c>
      <c r="B16" s="19" t="str">
        <f>VLOOKUP($A16,'MG Universe'!$A$2:$R$9994,2)</f>
        <v>JPMorgan Chase &amp; Co.</v>
      </c>
      <c r="C16" s="19" t="str">
        <f>VLOOKUP($A16,'MG Universe'!$A$2:$R$9994,3)</f>
        <v>A</v>
      </c>
      <c r="D16" s="19" t="str">
        <f>VLOOKUP($A16,'MG Universe'!$A$2:$R$9994,4)</f>
        <v>D</v>
      </c>
      <c r="E16" s="19" t="str">
        <f>VLOOKUP($A16,'MG Universe'!$A$2:$R$9994,5)</f>
        <v>U</v>
      </c>
      <c r="F16" s="20" t="str">
        <f>VLOOKUP($A16,'MG Universe'!$A$2:$R$9994,6)</f>
        <v>DU</v>
      </c>
      <c r="G16" s="103">
        <f>VLOOKUP($A16,'MG Universe'!$A$2:$R$9994,7)</f>
        <v>42394</v>
      </c>
      <c r="H16" s="22">
        <f>VLOOKUP($A16,'MG Universe'!$A$2:$R$9994,8)</f>
        <v>101.46</v>
      </c>
      <c r="I16" s="22">
        <f>VLOOKUP($A16,'MG Universe'!$A$2:$R$9994,9)</f>
        <v>59.74</v>
      </c>
      <c r="J16" s="23">
        <f>VLOOKUP($A16,'MG Universe'!$A$2:$R$9994,10)</f>
        <v>0.58879999999999999</v>
      </c>
      <c r="K16" s="105">
        <f>VLOOKUP($A16,'MG Universe'!$A$2:$R$9994,11)</f>
        <v>10.9</v>
      </c>
      <c r="L16" s="23">
        <f>VLOOKUP($A16,'MG Universe'!$A$2:$R$9994,12)</f>
        <v>2.9499999999999998E-2</v>
      </c>
      <c r="M16" s="106">
        <f>VLOOKUP($A16,'MG Universe'!$A$2:$R$9994,13)</f>
        <v>1.7</v>
      </c>
      <c r="N16" s="107" t="str">
        <f>VLOOKUP($A16,'MG Universe'!$A$2:$R$9994,14)</f>
        <v>N/A</v>
      </c>
      <c r="O16" s="22" t="str">
        <f>VLOOKUP($A16,'MG Universe'!$A$2:$R$9994,15)</f>
        <v>N/A</v>
      </c>
      <c r="P16" s="23">
        <f>VLOOKUP($A16,'MG Universe'!$A$2:$R$9994,16)</f>
        <v>1.2E-2</v>
      </c>
      <c r="Q16" s="109">
        <f>VLOOKUP($A16,'MG Universe'!$A$2:$R$9994,17)</f>
        <v>6</v>
      </c>
      <c r="R16" s="22">
        <f>VLOOKUP($A16,'MG Universe'!$A$2:$R$9994,18)</f>
        <v>88.61</v>
      </c>
    </row>
    <row r="17" spans="1:18" x14ac:dyDescent="0.55000000000000004">
      <c r="A17" s="18" t="s">
        <v>912</v>
      </c>
      <c r="B17" s="19" t="str">
        <f>VLOOKUP($A17,'MG Universe'!$A$2:$R$9994,2)</f>
        <v>The Coca-Cola Co</v>
      </c>
      <c r="C17" s="19" t="str">
        <f>VLOOKUP($A17,'MG Universe'!$A$2:$R$9994,3)</f>
        <v>D+</v>
      </c>
      <c r="D17" s="19" t="str">
        <f>VLOOKUP($A17,'MG Universe'!$A$2:$R$9994,4)</f>
        <v>S</v>
      </c>
      <c r="E17" s="19" t="str">
        <f>VLOOKUP($A17,'MG Universe'!$A$2:$R$9994,5)</f>
        <v>O</v>
      </c>
      <c r="F17" s="20" t="str">
        <f>VLOOKUP($A17,'MG Universe'!$A$2:$R$9994,6)</f>
        <v>SO</v>
      </c>
      <c r="G17" s="103">
        <f>VLOOKUP($A17,'MG Universe'!$A$2:$R$9994,7)</f>
        <v>42066</v>
      </c>
      <c r="H17" s="22">
        <f>VLOOKUP($A17,'MG Universe'!$A$2:$R$9994,8)</f>
        <v>19.68</v>
      </c>
      <c r="I17" s="22">
        <f>VLOOKUP($A17,'MG Universe'!$A$2:$R$9994,9)</f>
        <v>43.77</v>
      </c>
      <c r="J17" s="23">
        <f>VLOOKUP($A17,'MG Universe'!$A$2:$R$9994,10)</f>
        <v>2.2241</v>
      </c>
      <c r="K17" s="105">
        <f>VLOOKUP($A17,'MG Universe'!$A$2:$R$9994,11)</f>
        <v>23.66</v>
      </c>
      <c r="L17" s="23">
        <f>VLOOKUP($A17,'MG Universe'!$A$2:$R$9994,12)</f>
        <v>3.2000000000000001E-2</v>
      </c>
      <c r="M17" s="106">
        <f>VLOOKUP($A17,'MG Universe'!$A$2:$R$9994,13)</f>
        <v>0.5</v>
      </c>
      <c r="N17" s="107">
        <f>VLOOKUP($A17,'MG Universe'!$A$2:$R$9994,14)</f>
        <v>1.02</v>
      </c>
      <c r="O17" s="22">
        <f>VLOOKUP($A17,'MG Universe'!$A$2:$R$9994,15)</f>
        <v>0.14000000000000001</v>
      </c>
      <c r="P17" s="23">
        <f>VLOOKUP($A17,'MG Universe'!$A$2:$R$9994,16)</f>
        <v>7.5800000000000006E-2</v>
      </c>
      <c r="Q17" s="109">
        <f>VLOOKUP($A17,'MG Universe'!$A$2:$R$9994,17)</f>
        <v>0</v>
      </c>
      <c r="R17" s="22">
        <f>VLOOKUP($A17,'MG Universe'!$A$2:$R$9994,18)</f>
        <v>0</v>
      </c>
    </row>
    <row r="18" spans="1:18" x14ac:dyDescent="0.55000000000000004">
      <c r="A18" s="18" t="s">
        <v>187</v>
      </c>
      <c r="B18" s="19" t="str">
        <f>VLOOKUP($A18,'MG Universe'!$A$2:$R$9994,2)</f>
        <v>McDonald's Corporation</v>
      </c>
      <c r="C18" s="19" t="str">
        <f>VLOOKUP($A18,'MG Universe'!$A$2:$R$9994,3)</f>
        <v>B</v>
      </c>
      <c r="D18" s="19" t="str">
        <f>VLOOKUP($A18,'MG Universe'!$A$2:$R$9994,4)</f>
        <v>E</v>
      </c>
      <c r="E18" s="19" t="str">
        <f>VLOOKUP($A18,'MG Universe'!$A$2:$R$9994,5)</f>
        <v>O</v>
      </c>
      <c r="F18" s="20" t="str">
        <f>VLOOKUP($A18,'MG Universe'!$A$2:$R$9994,6)</f>
        <v>EO</v>
      </c>
      <c r="G18" s="103">
        <f>VLOOKUP($A18,'MG Universe'!$A$2:$R$9994,7)</f>
        <v>42318</v>
      </c>
      <c r="H18" s="22">
        <f>VLOOKUP($A18,'MG Universe'!$A$2:$R$9994,8)</f>
        <v>61.89</v>
      </c>
      <c r="I18" s="22">
        <f>VLOOKUP($A18,'MG Universe'!$A$2:$R$9994,9)</f>
        <v>118.48</v>
      </c>
      <c r="J18" s="23">
        <f>VLOOKUP($A18,'MG Universe'!$A$2:$R$9994,10)</f>
        <v>1.9144000000000001</v>
      </c>
      <c r="K18" s="105">
        <f>VLOOKUP($A18,'MG Universe'!$A$2:$R$9994,11)</f>
        <v>23.7</v>
      </c>
      <c r="L18" s="23">
        <f>VLOOKUP($A18,'MG Universe'!$A$2:$R$9994,12)</f>
        <v>0.03</v>
      </c>
      <c r="M18" s="106">
        <f>VLOOKUP($A18,'MG Universe'!$A$2:$R$9994,13)</f>
        <v>0.5</v>
      </c>
      <c r="N18" s="107">
        <f>VLOOKUP($A18,'MG Universe'!$A$2:$R$9994,14)</f>
        <v>1.52</v>
      </c>
      <c r="O18" s="22">
        <f>VLOOKUP($A18,'MG Universe'!$A$2:$R$9994,15)</f>
        <v>-21.56</v>
      </c>
      <c r="P18" s="23">
        <f>VLOOKUP($A18,'MG Universe'!$A$2:$R$9994,16)</f>
        <v>7.5999999999999998E-2</v>
      </c>
      <c r="Q18" s="109">
        <f>VLOOKUP($A18,'MG Universe'!$A$2:$R$9994,17)</f>
        <v>20</v>
      </c>
      <c r="R18" s="22">
        <f>VLOOKUP($A18,'MG Universe'!$A$2:$R$9994,18)</f>
        <v>30.31</v>
      </c>
    </row>
    <row r="19" spans="1:18" x14ac:dyDescent="0.55000000000000004">
      <c r="A19" s="18" t="s">
        <v>263</v>
      </c>
      <c r="B19" s="19" t="str">
        <f>VLOOKUP($A19,'MG Universe'!$A$2:$R$9994,2)</f>
        <v>3M Co</v>
      </c>
      <c r="C19" s="19" t="str">
        <f>VLOOKUP($A19,'MG Universe'!$A$2:$R$9994,3)</f>
        <v>B-</v>
      </c>
      <c r="D19" s="19" t="str">
        <f>VLOOKUP($A19,'MG Universe'!$A$2:$R$9994,4)</f>
        <v>E</v>
      </c>
      <c r="E19" s="19" t="str">
        <f>VLOOKUP($A19,'MG Universe'!$A$2:$R$9994,5)</f>
        <v>O</v>
      </c>
      <c r="F19" s="20" t="str">
        <f>VLOOKUP($A19,'MG Universe'!$A$2:$R$9994,6)</f>
        <v>EO</v>
      </c>
      <c r="G19" s="103">
        <f>VLOOKUP($A19,'MG Universe'!$A$2:$R$9994,7)</f>
        <v>42403</v>
      </c>
      <c r="H19" s="22">
        <f>VLOOKUP($A19,'MG Universe'!$A$2:$R$9994,8)</f>
        <v>132.97</v>
      </c>
      <c r="I19" s="22">
        <f>VLOOKUP($A19,'MG Universe'!$A$2:$R$9994,9)</f>
        <v>159.41</v>
      </c>
      <c r="J19" s="23">
        <f>VLOOKUP($A19,'MG Universe'!$A$2:$R$9994,10)</f>
        <v>1.1988000000000001</v>
      </c>
      <c r="K19" s="105">
        <f>VLOOKUP($A19,'MG Universe'!$A$2:$R$9994,11)</f>
        <v>21.23</v>
      </c>
      <c r="L19" s="23">
        <f>VLOOKUP($A19,'MG Universe'!$A$2:$R$9994,12)</f>
        <v>2.7900000000000001E-2</v>
      </c>
      <c r="M19" s="106">
        <f>VLOOKUP($A19,'MG Universe'!$A$2:$R$9994,13)</f>
        <v>1.1000000000000001</v>
      </c>
      <c r="N19" s="107">
        <f>VLOOKUP($A19,'MG Universe'!$A$2:$R$9994,14)</f>
        <v>1.54</v>
      </c>
      <c r="O19" s="22">
        <f>VLOOKUP($A19,'MG Universe'!$A$2:$R$9994,15)</f>
        <v>-16.22</v>
      </c>
      <c r="P19" s="23">
        <f>VLOOKUP($A19,'MG Universe'!$A$2:$R$9994,16)</f>
        <v>6.3600000000000004E-2</v>
      </c>
      <c r="Q19" s="109">
        <f>VLOOKUP($A19,'MG Universe'!$A$2:$R$9994,17)</f>
        <v>20</v>
      </c>
      <c r="R19" s="22">
        <f>VLOOKUP($A19,'MG Universe'!$A$2:$R$9994,18)</f>
        <v>58.27</v>
      </c>
    </row>
    <row r="20" spans="1:18" x14ac:dyDescent="0.55000000000000004">
      <c r="A20" s="18" t="s">
        <v>678</v>
      </c>
      <c r="B20" s="19" t="str">
        <f>VLOOKUP($A20,'MG Universe'!$A$2:$R$9994,2)</f>
        <v>Merck &amp; Co., Inc.</v>
      </c>
      <c r="C20" s="19" t="str">
        <f>VLOOKUP($A20,'MG Universe'!$A$2:$R$9994,3)</f>
        <v>C+</v>
      </c>
      <c r="D20" s="19" t="str">
        <f>VLOOKUP($A20,'MG Universe'!$A$2:$R$9994,4)</f>
        <v>E</v>
      </c>
      <c r="E20" s="19" t="str">
        <f>VLOOKUP($A20,'MG Universe'!$A$2:$R$9994,5)</f>
        <v>O</v>
      </c>
      <c r="F20" s="20" t="str">
        <f>VLOOKUP($A20,'MG Universe'!$A$2:$R$9994,6)</f>
        <v>EO</v>
      </c>
      <c r="G20" s="103">
        <f>VLOOKUP($A20,'MG Universe'!$A$2:$R$9994,7)</f>
        <v>42319</v>
      </c>
      <c r="H20" s="22">
        <f>VLOOKUP($A20,'MG Universe'!$A$2:$R$9994,8)</f>
        <v>27.04</v>
      </c>
      <c r="I20" s="22">
        <f>VLOOKUP($A20,'MG Universe'!$A$2:$R$9994,9)</f>
        <v>52.27</v>
      </c>
      <c r="J20" s="23">
        <f>VLOOKUP($A20,'MG Universe'!$A$2:$R$9994,10)</f>
        <v>1.9331</v>
      </c>
      <c r="K20" s="105">
        <f>VLOOKUP($A20,'MG Universe'!$A$2:$R$9994,11)</f>
        <v>21.08</v>
      </c>
      <c r="L20" s="23">
        <f>VLOOKUP($A20,'MG Universe'!$A$2:$R$9994,12)</f>
        <v>3.5200000000000002E-2</v>
      </c>
      <c r="M20" s="106">
        <f>VLOOKUP($A20,'MG Universe'!$A$2:$R$9994,13)</f>
        <v>0.7</v>
      </c>
      <c r="N20" s="107">
        <f>VLOOKUP($A20,'MG Universe'!$A$2:$R$9994,14)</f>
        <v>1.62</v>
      </c>
      <c r="O20" s="22">
        <f>VLOOKUP($A20,'MG Universe'!$A$2:$R$9994,15)</f>
        <v>-9.5500000000000007</v>
      </c>
      <c r="P20" s="23">
        <f>VLOOKUP($A20,'MG Universe'!$A$2:$R$9994,16)</f>
        <v>6.2899999999999998E-2</v>
      </c>
      <c r="Q20" s="109">
        <f>VLOOKUP($A20,'MG Universe'!$A$2:$R$9994,17)</f>
        <v>5</v>
      </c>
      <c r="R20" s="22">
        <f>VLOOKUP($A20,'MG Universe'!$A$2:$R$9994,18)</f>
        <v>27.58</v>
      </c>
    </row>
    <row r="21" spans="1:18" x14ac:dyDescent="0.55000000000000004">
      <c r="A21" s="18" t="s">
        <v>680</v>
      </c>
      <c r="B21" s="19" t="str">
        <f>VLOOKUP($A21,'MG Universe'!$A$2:$R$9994,2)</f>
        <v>Microsoft Corporation</v>
      </c>
      <c r="C21" s="19" t="str">
        <f>VLOOKUP($A21,'MG Universe'!$A$2:$R$9994,3)</f>
        <v>C+</v>
      </c>
      <c r="D21" s="19" t="str">
        <f>VLOOKUP($A21,'MG Universe'!$A$2:$R$9994,4)</f>
        <v>E</v>
      </c>
      <c r="E21" s="19" t="str">
        <f>VLOOKUP($A21,'MG Universe'!$A$2:$R$9994,5)</f>
        <v>O</v>
      </c>
      <c r="F21" s="20" t="str">
        <f>VLOOKUP($A21,'MG Universe'!$A$2:$R$9994,6)</f>
        <v>EO</v>
      </c>
      <c r="G21" s="103">
        <f>VLOOKUP($A21,'MG Universe'!$A$2:$R$9994,7)</f>
        <v>42409</v>
      </c>
      <c r="H21" s="22">
        <f>VLOOKUP($A21,'MG Universe'!$A$2:$R$9994,8)</f>
        <v>19.79</v>
      </c>
      <c r="I21" s="22">
        <f>VLOOKUP($A21,'MG Universe'!$A$2:$R$9994,9)</f>
        <v>52.95</v>
      </c>
      <c r="J21" s="23">
        <f>VLOOKUP($A21,'MG Universe'!$A$2:$R$9994,10)</f>
        <v>2.6756000000000002</v>
      </c>
      <c r="K21" s="105">
        <f>VLOOKUP($A21,'MG Universe'!$A$2:$R$9994,11)</f>
        <v>24.29</v>
      </c>
      <c r="L21" s="23">
        <f>VLOOKUP($A21,'MG Universe'!$A$2:$R$9994,12)</f>
        <v>2.7199999999999998E-2</v>
      </c>
      <c r="M21" s="106">
        <f>VLOOKUP($A21,'MG Universe'!$A$2:$R$9994,13)</f>
        <v>1</v>
      </c>
      <c r="N21" s="107">
        <f>VLOOKUP($A21,'MG Universe'!$A$2:$R$9994,14)</f>
        <v>3</v>
      </c>
      <c r="O21" s="22">
        <f>VLOOKUP($A21,'MG Universe'!$A$2:$R$9994,15)</f>
        <v>3.05</v>
      </c>
      <c r="P21" s="23">
        <f>VLOOKUP($A21,'MG Universe'!$A$2:$R$9994,16)</f>
        <v>7.8899999999999998E-2</v>
      </c>
      <c r="Q21" s="109">
        <f>VLOOKUP($A21,'MG Universe'!$A$2:$R$9994,17)</f>
        <v>14</v>
      </c>
      <c r="R21" s="22">
        <f>VLOOKUP($A21,'MG Universe'!$A$2:$R$9994,18)</f>
        <v>22.68</v>
      </c>
    </row>
    <row r="22" spans="1:18" x14ac:dyDescent="0.55000000000000004">
      <c r="A22" s="18" t="s">
        <v>265</v>
      </c>
      <c r="B22" s="19" t="str">
        <f>VLOOKUP($A22,'MG Universe'!$A$2:$R$9994,2)</f>
        <v>Nike Inc</v>
      </c>
      <c r="C22" s="19" t="str">
        <f>VLOOKUP($A22,'MG Universe'!$A$2:$R$9994,3)</f>
        <v>B-</v>
      </c>
      <c r="D22" s="19" t="str">
        <f>VLOOKUP($A22,'MG Universe'!$A$2:$R$9994,4)</f>
        <v>E</v>
      </c>
      <c r="E22" s="19" t="str">
        <f>VLOOKUP($A22,'MG Universe'!$A$2:$R$9994,5)</f>
        <v>U</v>
      </c>
      <c r="F22" s="20" t="str">
        <f>VLOOKUP($A22,'MG Universe'!$A$2:$R$9994,6)</f>
        <v>EU</v>
      </c>
      <c r="G22" s="103">
        <f>VLOOKUP($A22,'MG Universe'!$A$2:$R$9994,7)</f>
        <v>42320</v>
      </c>
      <c r="H22" s="22">
        <f>VLOOKUP($A22,'MG Universe'!$A$2:$R$9994,8)</f>
        <v>97.92</v>
      </c>
      <c r="I22" s="22">
        <f>VLOOKUP($A22,'MG Universe'!$A$2:$R$9994,9)</f>
        <v>62.18</v>
      </c>
      <c r="J22" s="23">
        <f>VLOOKUP($A22,'MG Universe'!$A$2:$R$9994,10)</f>
        <v>0.63500000000000001</v>
      </c>
      <c r="K22" s="105">
        <f>VLOOKUP($A22,'MG Universe'!$A$2:$R$9994,11)</f>
        <v>17.920000000000002</v>
      </c>
      <c r="L22" s="23">
        <f>VLOOKUP($A22,'MG Universe'!$A$2:$R$9994,12)</f>
        <v>1.03E-2</v>
      </c>
      <c r="M22" s="106">
        <f>VLOOKUP($A22,'MG Universe'!$A$2:$R$9994,13)</f>
        <v>0.6</v>
      </c>
      <c r="N22" s="107">
        <f>VLOOKUP($A22,'MG Universe'!$A$2:$R$9994,14)</f>
        <v>2.89</v>
      </c>
      <c r="O22" s="22">
        <f>VLOOKUP($A22,'MG Universe'!$A$2:$R$9994,15)</f>
        <v>8.4</v>
      </c>
      <c r="P22" s="23">
        <f>VLOOKUP($A22,'MG Universe'!$A$2:$R$9994,16)</f>
        <v>4.7100000000000003E-2</v>
      </c>
      <c r="Q22" s="109">
        <f>VLOOKUP($A22,'MG Universe'!$A$2:$R$9994,17)</f>
        <v>8</v>
      </c>
      <c r="R22" s="22">
        <f>VLOOKUP($A22,'MG Universe'!$A$2:$R$9994,18)</f>
        <v>37.29</v>
      </c>
    </row>
    <row r="23" spans="1:18" x14ac:dyDescent="0.55000000000000004">
      <c r="A23" s="18" t="s">
        <v>197</v>
      </c>
      <c r="B23" s="19" t="str">
        <f>VLOOKUP($A23,'MG Universe'!$A$2:$R$9994,2)</f>
        <v>Pfizer Inc.</v>
      </c>
      <c r="C23" s="19" t="str">
        <f>VLOOKUP($A23,'MG Universe'!$A$2:$R$9994,3)</f>
        <v>B</v>
      </c>
      <c r="D23" s="19" t="str">
        <f>VLOOKUP($A23,'MG Universe'!$A$2:$R$9994,4)</f>
        <v>E</v>
      </c>
      <c r="E23" s="19" t="str">
        <f>VLOOKUP($A23,'MG Universe'!$A$2:$R$9994,5)</f>
        <v>U</v>
      </c>
      <c r="F23" s="20" t="str">
        <f>VLOOKUP($A23,'MG Universe'!$A$2:$R$9994,6)</f>
        <v>EU</v>
      </c>
      <c r="G23" s="103">
        <f>VLOOKUP($A23,'MG Universe'!$A$2:$R$9994,7)</f>
        <v>42409</v>
      </c>
      <c r="H23" s="22">
        <f>VLOOKUP($A23,'MG Universe'!$A$2:$R$9994,8)</f>
        <v>51.99</v>
      </c>
      <c r="I23" s="22">
        <f>VLOOKUP($A23,'MG Universe'!$A$2:$R$9994,9)</f>
        <v>29.97</v>
      </c>
      <c r="J23" s="23">
        <f>VLOOKUP($A23,'MG Universe'!$A$2:$R$9994,10)</f>
        <v>0.57650000000000001</v>
      </c>
      <c r="K23" s="105">
        <f>VLOOKUP($A23,'MG Universe'!$A$2:$R$9994,11)</f>
        <v>15.69</v>
      </c>
      <c r="L23" s="23">
        <f>VLOOKUP($A23,'MG Universe'!$A$2:$R$9994,12)</f>
        <v>0.04</v>
      </c>
      <c r="M23" s="106">
        <f>VLOOKUP($A23,'MG Universe'!$A$2:$R$9994,13)</f>
        <v>0.9</v>
      </c>
      <c r="N23" s="107">
        <f>VLOOKUP($A23,'MG Universe'!$A$2:$R$9994,14)</f>
        <v>1.62</v>
      </c>
      <c r="O23" s="22">
        <f>VLOOKUP($A23,'MG Universe'!$A$2:$R$9994,15)</f>
        <v>-9.4600000000000009</v>
      </c>
      <c r="P23" s="23">
        <f>VLOOKUP($A23,'MG Universe'!$A$2:$R$9994,16)</f>
        <v>3.5999999999999997E-2</v>
      </c>
      <c r="Q23" s="109">
        <f>VLOOKUP($A23,'MG Universe'!$A$2:$R$9994,17)</f>
        <v>5</v>
      </c>
      <c r="R23" s="22">
        <f>VLOOKUP($A23,'MG Universe'!$A$2:$R$9994,18)</f>
        <v>20.11</v>
      </c>
    </row>
    <row r="24" spans="1:18" x14ac:dyDescent="0.55000000000000004">
      <c r="A24" s="18" t="s">
        <v>970</v>
      </c>
      <c r="B24" s="19" t="str">
        <f>VLOOKUP($A24,'MG Universe'!$A$2:$R$9994,2)</f>
        <v>Procter &amp; Gamble Co</v>
      </c>
      <c r="C24" s="19" t="str">
        <f>VLOOKUP($A24,'MG Universe'!$A$2:$R$9994,3)</f>
        <v>D+</v>
      </c>
      <c r="D24" s="19" t="str">
        <f>VLOOKUP($A24,'MG Universe'!$A$2:$R$9994,4)</f>
        <v>S</v>
      </c>
      <c r="E24" s="19" t="str">
        <f>VLOOKUP($A24,'MG Universe'!$A$2:$R$9994,5)</f>
        <v>O</v>
      </c>
      <c r="F24" s="20" t="str">
        <f>VLOOKUP($A24,'MG Universe'!$A$2:$R$9994,6)</f>
        <v>SO</v>
      </c>
      <c r="G24" s="103">
        <f>VLOOKUP($A24,'MG Universe'!$A$2:$R$9994,7)</f>
        <v>42051</v>
      </c>
      <c r="H24" s="22">
        <f>VLOOKUP($A24,'MG Universe'!$A$2:$R$9994,8)</f>
        <v>31.58</v>
      </c>
      <c r="I24" s="22">
        <f>VLOOKUP($A24,'MG Universe'!$A$2:$R$9994,9)</f>
        <v>82.54</v>
      </c>
      <c r="J24" s="23">
        <f>VLOOKUP($A24,'MG Universe'!$A$2:$R$9994,10)</f>
        <v>2.6137000000000001</v>
      </c>
      <c r="K24" s="105">
        <f>VLOOKUP($A24,'MG Universe'!$A$2:$R$9994,11)</f>
        <v>21.22</v>
      </c>
      <c r="L24" s="23">
        <f>VLOOKUP($A24,'MG Universe'!$A$2:$R$9994,12)</f>
        <v>3.2099999999999997E-2</v>
      </c>
      <c r="M24" s="106">
        <f>VLOOKUP($A24,'MG Universe'!$A$2:$R$9994,13)</f>
        <v>0.5</v>
      </c>
      <c r="N24" s="107">
        <f>VLOOKUP($A24,'MG Universe'!$A$2:$R$9994,14)</f>
        <v>0.97</v>
      </c>
      <c r="O24" s="22">
        <f>VLOOKUP($A24,'MG Universe'!$A$2:$R$9994,15)</f>
        <v>-13.5</v>
      </c>
      <c r="P24" s="23">
        <f>VLOOKUP($A24,'MG Universe'!$A$2:$R$9994,16)</f>
        <v>6.3600000000000004E-2</v>
      </c>
      <c r="Q24" s="109">
        <f>VLOOKUP($A24,'MG Universe'!$A$2:$R$9994,17)</f>
        <v>0</v>
      </c>
      <c r="R24" s="22">
        <f>VLOOKUP($A24,'MG Universe'!$A$2:$R$9994,18)</f>
        <v>0</v>
      </c>
    </row>
    <row r="25" spans="1:18" x14ac:dyDescent="0.55000000000000004">
      <c r="A25" s="18" t="s">
        <v>65</v>
      </c>
      <c r="B25" s="19" t="str">
        <f>VLOOKUP($A25,'MG Universe'!$A$2:$R$9994,2)</f>
        <v>Travelers Companies Inc</v>
      </c>
      <c r="C25" s="19" t="str">
        <f>VLOOKUP($A25,'MG Universe'!$A$2:$R$9994,3)</f>
        <v>A</v>
      </c>
      <c r="D25" s="19" t="str">
        <f>VLOOKUP($A25,'MG Universe'!$A$2:$R$9994,4)</f>
        <v>D</v>
      </c>
      <c r="E25" s="19" t="str">
        <f>VLOOKUP($A25,'MG Universe'!$A$2:$R$9994,5)</f>
        <v>U</v>
      </c>
      <c r="F25" s="20" t="str">
        <f>VLOOKUP($A25,'MG Universe'!$A$2:$R$9994,6)</f>
        <v>DU</v>
      </c>
      <c r="G25" s="103">
        <f>VLOOKUP($A25,'MG Universe'!$A$2:$R$9994,7)</f>
        <v>42324</v>
      </c>
      <c r="H25" s="22">
        <f>VLOOKUP($A25,'MG Universe'!$A$2:$R$9994,8)</f>
        <v>296.43</v>
      </c>
      <c r="I25" s="22">
        <f>VLOOKUP($A25,'MG Universe'!$A$2:$R$9994,9)</f>
        <v>110.2</v>
      </c>
      <c r="J25" s="23">
        <f>VLOOKUP($A25,'MG Universe'!$A$2:$R$9994,10)</f>
        <v>0.37180000000000002</v>
      </c>
      <c r="K25" s="105">
        <f>VLOOKUP($A25,'MG Universe'!$A$2:$R$9994,11)</f>
        <v>11.81</v>
      </c>
      <c r="L25" s="23">
        <f>VLOOKUP($A25,'MG Universe'!$A$2:$R$9994,12)</f>
        <v>2.2100000000000002E-2</v>
      </c>
      <c r="M25" s="106">
        <f>VLOOKUP($A25,'MG Universe'!$A$2:$R$9994,13)</f>
        <v>1.2</v>
      </c>
      <c r="N25" s="107" t="str">
        <f>VLOOKUP($A25,'MG Universe'!$A$2:$R$9994,14)</f>
        <v>N/A</v>
      </c>
      <c r="O25" s="22" t="str">
        <f>VLOOKUP($A25,'MG Universe'!$A$2:$R$9994,15)</f>
        <v>N/A</v>
      </c>
      <c r="P25" s="23">
        <f>VLOOKUP($A25,'MG Universe'!$A$2:$R$9994,16)</f>
        <v>1.66E-2</v>
      </c>
      <c r="Q25" s="109">
        <f>VLOOKUP($A25,'MG Universe'!$A$2:$R$9994,17)</f>
        <v>10</v>
      </c>
      <c r="R25" s="22">
        <f>VLOOKUP($A25,'MG Universe'!$A$2:$R$9994,18)</f>
        <v>135.83000000000001</v>
      </c>
    </row>
    <row r="26" spans="1:18" x14ac:dyDescent="0.55000000000000004">
      <c r="A26" s="18" t="s">
        <v>1003</v>
      </c>
      <c r="B26" s="19" t="str">
        <f>VLOOKUP($A26,'MG Universe'!$A$2:$R$9994,2)</f>
        <v>UnitedHealth Group Inc</v>
      </c>
      <c r="C26" s="19" t="str">
        <f>VLOOKUP($A26,'MG Universe'!$A$2:$R$9994,3)</f>
        <v>D+</v>
      </c>
      <c r="D26" s="19" t="str">
        <f>VLOOKUP($A26,'MG Universe'!$A$2:$R$9994,4)</f>
        <v>S</v>
      </c>
      <c r="E26" s="19" t="str">
        <f>VLOOKUP($A26,'MG Universe'!$A$2:$R$9994,5)</f>
        <v>F</v>
      </c>
      <c r="F26" s="20" t="str">
        <f>VLOOKUP($A26,'MG Universe'!$A$2:$R$9994,6)</f>
        <v>SF</v>
      </c>
      <c r="G26" s="103">
        <f>VLOOKUP($A26,'MG Universe'!$A$2:$R$9994,7)</f>
        <v>42324</v>
      </c>
      <c r="H26" s="22">
        <f>VLOOKUP($A26,'MG Universe'!$A$2:$R$9994,8)</f>
        <v>130.87</v>
      </c>
      <c r="I26" s="22">
        <f>VLOOKUP($A26,'MG Universe'!$A$2:$R$9994,9)</f>
        <v>121.27</v>
      </c>
      <c r="J26" s="23">
        <f>VLOOKUP($A26,'MG Universe'!$A$2:$R$9994,10)</f>
        <v>0.92659999999999998</v>
      </c>
      <c r="K26" s="105">
        <f>VLOOKUP($A26,'MG Universe'!$A$2:$R$9994,11)</f>
        <v>21.2</v>
      </c>
      <c r="L26" s="23">
        <f>VLOOKUP($A26,'MG Universe'!$A$2:$R$9994,12)</f>
        <v>1.6500000000000001E-2</v>
      </c>
      <c r="M26" s="106">
        <f>VLOOKUP($A26,'MG Universe'!$A$2:$R$9994,13)</f>
        <v>0.6</v>
      </c>
      <c r="N26" s="107">
        <f>VLOOKUP($A26,'MG Universe'!$A$2:$R$9994,14)</f>
        <v>0.75</v>
      </c>
      <c r="O26" s="22">
        <f>VLOOKUP($A26,'MG Universe'!$A$2:$R$9994,15)</f>
        <v>-46.77</v>
      </c>
      <c r="P26" s="23">
        <f>VLOOKUP($A26,'MG Universe'!$A$2:$R$9994,16)</f>
        <v>6.3500000000000001E-2</v>
      </c>
      <c r="Q26" s="109">
        <f>VLOOKUP($A26,'MG Universe'!$A$2:$R$9994,17)</f>
        <v>6</v>
      </c>
      <c r="R26" s="22">
        <f>VLOOKUP($A26,'MG Universe'!$A$2:$R$9994,18)</f>
        <v>69.83</v>
      </c>
    </row>
    <row r="27" spans="1:18" x14ac:dyDescent="0.55000000000000004">
      <c r="A27" s="18" t="s">
        <v>130</v>
      </c>
      <c r="B27" s="19" t="str">
        <f>VLOOKUP($A27,'MG Universe'!$A$2:$R$9994,2)</f>
        <v>United Technologies Corporation</v>
      </c>
      <c r="C27" s="19" t="str">
        <f>VLOOKUP($A27,'MG Universe'!$A$2:$R$9994,3)</f>
        <v>A-</v>
      </c>
      <c r="D27" s="19" t="str">
        <f>VLOOKUP($A27,'MG Universe'!$A$2:$R$9994,4)</f>
        <v>D</v>
      </c>
      <c r="E27" s="19" t="str">
        <f>VLOOKUP($A27,'MG Universe'!$A$2:$R$9994,5)</f>
        <v>F</v>
      </c>
      <c r="F27" s="20" t="str">
        <f>VLOOKUP($A27,'MG Universe'!$A$2:$R$9994,6)</f>
        <v>DF</v>
      </c>
      <c r="G27" s="103">
        <f>VLOOKUP($A27,'MG Universe'!$A$2:$R$9994,7)</f>
        <v>42324</v>
      </c>
      <c r="H27" s="22">
        <f>VLOOKUP($A27,'MG Universe'!$A$2:$R$9994,8)</f>
        <v>106.91</v>
      </c>
      <c r="I27" s="22">
        <f>VLOOKUP($A27,'MG Universe'!$A$2:$R$9994,9)</f>
        <v>95.51</v>
      </c>
      <c r="J27" s="23">
        <f>VLOOKUP($A27,'MG Universe'!$A$2:$R$9994,10)</f>
        <v>0.89339999999999997</v>
      </c>
      <c r="K27" s="105">
        <f>VLOOKUP($A27,'MG Universe'!$A$2:$R$9994,11)</f>
        <v>15.28</v>
      </c>
      <c r="L27" s="23">
        <f>VLOOKUP($A27,'MG Universe'!$A$2:$R$9994,12)</f>
        <v>2.6800000000000001E-2</v>
      </c>
      <c r="M27" s="106">
        <f>VLOOKUP($A27,'MG Universe'!$A$2:$R$9994,13)</f>
        <v>1.1000000000000001</v>
      </c>
      <c r="N27" s="107">
        <f>VLOOKUP($A27,'MG Universe'!$A$2:$R$9994,14)</f>
        <v>1.37</v>
      </c>
      <c r="O27" s="22">
        <f>VLOOKUP($A27,'MG Universe'!$A$2:$R$9994,15)</f>
        <v>-32.729999999999997</v>
      </c>
      <c r="P27" s="23">
        <f>VLOOKUP($A27,'MG Universe'!$A$2:$R$9994,16)</f>
        <v>3.39E-2</v>
      </c>
      <c r="Q27" s="109">
        <f>VLOOKUP($A27,'MG Universe'!$A$2:$R$9994,17)</f>
        <v>20</v>
      </c>
      <c r="R27" s="22">
        <f>VLOOKUP($A27,'MG Universe'!$A$2:$R$9994,18)</f>
        <v>69.17</v>
      </c>
    </row>
    <row r="28" spans="1:18" x14ac:dyDescent="0.55000000000000004">
      <c r="A28" s="18" t="s">
        <v>457</v>
      </c>
      <c r="B28" s="19" t="str">
        <f>VLOOKUP($A28,'MG Universe'!$A$2:$R$9994,2)</f>
        <v>Visa Inc</v>
      </c>
      <c r="C28" s="19" t="str">
        <f>VLOOKUP($A28,'MG Universe'!$A$2:$R$9994,3)</f>
        <v>C</v>
      </c>
      <c r="D28" s="19" t="str">
        <f>VLOOKUP($A28,'MG Universe'!$A$2:$R$9994,4)</f>
        <v>E</v>
      </c>
      <c r="E28" s="19" t="str">
        <f>VLOOKUP($A28,'MG Universe'!$A$2:$R$9994,5)</f>
        <v>F</v>
      </c>
      <c r="F28" s="20" t="str">
        <f>VLOOKUP($A28,'MG Universe'!$A$2:$R$9994,6)</f>
        <v>EF</v>
      </c>
      <c r="G28" s="103">
        <f>VLOOKUP($A28,'MG Universe'!$A$2:$R$9994,7)</f>
        <v>42335</v>
      </c>
      <c r="H28" s="22">
        <f>VLOOKUP($A28,'MG Universe'!$A$2:$R$9994,8)</f>
        <v>90.18</v>
      </c>
      <c r="I28" s="22">
        <f>VLOOKUP($A28,'MG Universe'!$A$2:$R$9994,9)</f>
        <v>74.260000000000005</v>
      </c>
      <c r="J28" s="23">
        <f>VLOOKUP($A28,'MG Universe'!$A$2:$R$9994,10)</f>
        <v>0.82350000000000001</v>
      </c>
      <c r="K28" s="105">
        <f>VLOOKUP($A28,'MG Universe'!$A$2:$R$9994,11)</f>
        <v>31.74</v>
      </c>
      <c r="L28" s="23">
        <f>VLOOKUP($A28,'MG Universe'!$A$2:$R$9994,12)</f>
        <v>7.4999999999999997E-3</v>
      </c>
      <c r="M28" s="106">
        <f>VLOOKUP($A28,'MG Universe'!$A$2:$R$9994,13)</f>
        <v>0.8</v>
      </c>
      <c r="N28" s="107">
        <f>VLOOKUP($A28,'MG Universe'!$A$2:$R$9994,14)</f>
        <v>2.0299999999999998</v>
      </c>
      <c r="O28" s="22">
        <f>VLOOKUP($A28,'MG Universe'!$A$2:$R$9994,15)</f>
        <v>0.2</v>
      </c>
      <c r="P28" s="23">
        <f>VLOOKUP($A28,'MG Universe'!$A$2:$R$9994,16)</f>
        <v>0.1162</v>
      </c>
      <c r="Q28" s="109">
        <f>VLOOKUP($A28,'MG Universe'!$A$2:$R$9994,17)</f>
        <v>8</v>
      </c>
      <c r="R28" s="22">
        <f>VLOOKUP($A28,'MG Universe'!$A$2:$R$9994,18)</f>
        <v>28.87</v>
      </c>
    </row>
    <row r="29" spans="1:18" x14ac:dyDescent="0.55000000000000004">
      <c r="A29" s="18" t="s">
        <v>1007</v>
      </c>
      <c r="B29" s="19" t="str">
        <f>VLOOKUP($A29,'MG Universe'!$A$2:$R$9994,2)</f>
        <v>Verizon Communications Inc.</v>
      </c>
      <c r="C29" s="19" t="str">
        <f>VLOOKUP($A29,'MG Universe'!$A$2:$R$9994,3)</f>
        <v>D+</v>
      </c>
      <c r="D29" s="19" t="str">
        <f>VLOOKUP($A29,'MG Universe'!$A$2:$R$9994,4)</f>
        <v>S</v>
      </c>
      <c r="E29" s="19" t="str">
        <f>VLOOKUP($A29,'MG Universe'!$A$2:$R$9994,5)</f>
        <v>O</v>
      </c>
      <c r="F29" s="20" t="str">
        <f>VLOOKUP($A29,'MG Universe'!$A$2:$R$9994,6)</f>
        <v>SO</v>
      </c>
      <c r="G29" s="103">
        <f>VLOOKUP($A29,'MG Universe'!$A$2:$R$9994,7)</f>
        <v>42067</v>
      </c>
      <c r="H29" s="22">
        <f>VLOOKUP($A29,'MG Universe'!$A$2:$R$9994,8)</f>
        <v>37.76</v>
      </c>
      <c r="I29" s="22">
        <f>VLOOKUP($A29,'MG Universe'!$A$2:$R$9994,9)</f>
        <v>52.1</v>
      </c>
      <c r="J29" s="23">
        <f>VLOOKUP($A29,'MG Universe'!$A$2:$R$9994,10)</f>
        <v>1.3797999999999999</v>
      </c>
      <c r="K29" s="105">
        <f>VLOOKUP($A29,'MG Universe'!$A$2:$R$9994,11)</f>
        <v>24.69</v>
      </c>
      <c r="L29" s="23">
        <f>VLOOKUP($A29,'MG Universe'!$A$2:$R$9994,12)</f>
        <v>4.3400000000000001E-2</v>
      </c>
      <c r="M29" s="106">
        <f>VLOOKUP($A29,'MG Universe'!$A$2:$R$9994,13)</f>
        <v>0.2</v>
      </c>
      <c r="N29" s="107">
        <f>VLOOKUP($A29,'MG Universe'!$A$2:$R$9994,14)</f>
        <v>1.06</v>
      </c>
      <c r="O29" s="22">
        <f>VLOOKUP($A29,'MG Universe'!$A$2:$R$9994,15)</f>
        <v>-45.9</v>
      </c>
      <c r="P29" s="23">
        <f>VLOOKUP($A29,'MG Universe'!$A$2:$R$9994,16)</f>
        <v>8.1000000000000003E-2</v>
      </c>
      <c r="Q29" s="109">
        <f>VLOOKUP($A29,'MG Universe'!$A$2:$R$9994,17)</f>
        <v>0</v>
      </c>
      <c r="R29" s="22">
        <f>VLOOKUP($A29,'MG Universe'!$A$2:$R$9994,18)</f>
        <v>0</v>
      </c>
    </row>
    <row r="30" spans="1:18" x14ac:dyDescent="0.55000000000000004">
      <c r="A30" s="18" t="s">
        <v>133</v>
      </c>
      <c r="B30" s="19" t="str">
        <f>VLOOKUP($A30,'MG Universe'!$A$2:$R$9994,2)</f>
        <v>Wal-Mart Stores, Inc.</v>
      </c>
      <c r="C30" s="19" t="str">
        <f>VLOOKUP($A30,'MG Universe'!$A$2:$R$9994,3)</f>
        <v>A-</v>
      </c>
      <c r="D30" s="19" t="str">
        <f>VLOOKUP($A30,'MG Universe'!$A$2:$R$9994,4)</f>
        <v>D</v>
      </c>
      <c r="E30" s="19" t="str">
        <f>VLOOKUP($A30,'MG Universe'!$A$2:$R$9994,5)</f>
        <v>F</v>
      </c>
      <c r="F30" s="20" t="str">
        <f>VLOOKUP($A30,'MG Universe'!$A$2:$R$9994,6)</f>
        <v>DF</v>
      </c>
      <c r="G30" s="103">
        <f>VLOOKUP($A30,'MG Universe'!$A$2:$R$9994,7)</f>
        <v>42326</v>
      </c>
      <c r="H30" s="22">
        <f>VLOOKUP($A30,'MG Universe'!$A$2:$R$9994,8)</f>
        <v>63.07</v>
      </c>
      <c r="I30" s="22">
        <f>VLOOKUP($A30,'MG Universe'!$A$2:$R$9994,9)</f>
        <v>66.17</v>
      </c>
      <c r="J30" s="23">
        <f>VLOOKUP($A30,'MG Universe'!$A$2:$R$9994,10)</f>
        <v>1.0491999999999999</v>
      </c>
      <c r="K30" s="105">
        <f>VLOOKUP($A30,'MG Universe'!$A$2:$R$9994,11)</f>
        <v>13.93</v>
      </c>
      <c r="L30" s="23">
        <f>VLOOKUP($A30,'MG Universe'!$A$2:$R$9994,12)</f>
        <v>3.0200000000000001E-2</v>
      </c>
      <c r="M30" s="106">
        <f>VLOOKUP($A30,'MG Universe'!$A$2:$R$9994,13)</f>
        <v>0.2</v>
      </c>
      <c r="N30" s="107">
        <f>VLOOKUP($A30,'MG Universe'!$A$2:$R$9994,14)</f>
        <v>0.89</v>
      </c>
      <c r="O30" s="22">
        <f>VLOOKUP($A30,'MG Universe'!$A$2:$R$9994,15)</f>
        <v>-19.07</v>
      </c>
      <c r="P30" s="23">
        <f>VLOOKUP($A30,'MG Universe'!$A$2:$R$9994,16)</f>
        <v>2.7199999999999998E-2</v>
      </c>
      <c r="Q30" s="109">
        <f>VLOOKUP($A30,'MG Universe'!$A$2:$R$9994,17)</f>
        <v>20</v>
      </c>
      <c r="R30" s="22">
        <f>VLOOKUP($A30,'MG Universe'!$A$2:$R$9994,18)</f>
        <v>49.17</v>
      </c>
    </row>
    <row r="31" spans="1:18" x14ac:dyDescent="0.55000000000000004">
      <c r="A31" s="18" t="s">
        <v>1015</v>
      </c>
      <c r="B31" s="19" t="str">
        <f>VLOOKUP($A31,'MG Universe'!$A$2:$R$9994,2)</f>
        <v>Exxon Mobil Corporation</v>
      </c>
      <c r="C31" s="19" t="str">
        <f>VLOOKUP($A31,'MG Universe'!$A$2:$R$9994,3)</f>
        <v>D+</v>
      </c>
      <c r="D31" s="19" t="str">
        <f>VLOOKUP($A31,'MG Universe'!$A$2:$R$9994,4)</f>
        <v>S</v>
      </c>
      <c r="E31" s="19" t="str">
        <f>VLOOKUP($A31,'MG Universe'!$A$2:$R$9994,5)</f>
        <v>O</v>
      </c>
      <c r="F31" s="20" t="str">
        <f>VLOOKUP($A31,'MG Universe'!$A$2:$R$9994,6)</f>
        <v>SO</v>
      </c>
      <c r="G31" s="103">
        <f>VLOOKUP($A31,'MG Universe'!$A$2:$R$9994,7)</f>
        <v>42159</v>
      </c>
      <c r="H31" s="22">
        <f>VLOOKUP($A31,'MG Universe'!$A$2:$R$9994,8)</f>
        <v>42.51</v>
      </c>
      <c r="I31" s="22">
        <f>VLOOKUP($A31,'MG Universe'!$A$2:$R$9994,9)</f>
        <v>82.7</v>
      </c>
      <c r="J31" s="23">
        <f>VLOOKUP($A31,'MG Universe'!$A$2:$R$9994,10)</f>
        <v>1.9454</v>
      </c>
      <c r="K31" s="105">
        <f>VLOOKUP($A31,'MG Universe'!$A$2:$R$9994,11)</f>
        <v>12.8</v>
      </c>
      <c r="L31" s="23">
        <f>VLOOKUP($A31,'MG Universe'!$A$2:$R$9994,12)</f>
        <v>3.5299999999999998E-2</v>
      </c>
      <c r="M31" s="106">
        <f>VLOOKUP($A31,'MG Universe'!$A$2:$R$9994,13)</f>
        <v>0.9</v>
      </c>
      <c r="N31" s="107">
        <f>VLOOKUP($A31,'MG Universe'!$A$2:$R$9994,14)</f>
        <v>0.91</v>
      </c>
      <c r="O31" s="22">
        <f>VLOOKUP($A31,'MG Universe'!$A$2:$R$9994,15)</f>
        <v>-28.75</v>
      </c>
      <c r="P31" s="23">
        <f>VLOOKUP($A31,'MG Universe'!$A$2:$R$9994,16)</f>
        <v>2.1499999999999998E-2</v>
      </c>
      <c r="Q31" s="109">
        <f>VLOOKUP($A31,'MG Universe'!$A$2:$R$9994,17)</f>
        <v>0</v>
      </c>
      <c r="R31" s="22">
        <f>VLOOKUP($A31,'MG Universe'!$A$2:$R$9994,18)</f>
        <v>0</v>
      </c>
    </row>
    <row r="33" spans="1:2" x14ac:dyDescent="0.55000000000000004">
      <c r="A33" s="24" t="s">
        <v>1151</v>
      </c>
      <c r="B33">
        <f>SUM(I2:I31)/'Market Overview'!B17</f>
        <v>0.13922187871527777</v>
      </c>
    </row>
  </sheetData>
  <sheetProtection algorithmName="SHA-512" hashValue="iDIErOg3/HaKebZ+pk9LC6inoFDckXGH/hPq2c2rcs/01O7tsi2ICFN2mITGKonkxHClswN34HVIm3eQgQKKfg==" saltValue="6y0LCmcXFwee3ysiHFUiAQ==" spinCount="100000" sheet="1" objects="1" scenario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3"/>
  <sheetViews>
    <sheetView workbookViewId="0">
      <selection activeCell="G6" sqref="G6"/>
    </sheetView>
  </sheetViews>
  <sheetFormatPr defaultRowHeight="14.4" x14ac:dyDescent="0.55000000000000004"/>
  <cols>
    <col min="1" max="1" width="7.68359375" bestFit="1" customWidth="1"/>
    <col min="2" max="2" width="40.68359375" bestFit="1" customWidth="1"/>
    <col min="3" max="3" width="13.15625" customWidth="1"/>
    <col min="4" max="4" width="8.26171875" bestFit="1" customWidth="1"/>
    <col min="5" max="5" width="8.15625" bestFit="1" customWidth="1"/>
    <col min="6" max="6" width="8" bestFit="1" customWidth="1"/>
    <col min="7" max="7" width="10.68359375" bestFit="1" customWidth="1"/>
    <col min="8" max="9" width="10.578125" bestFit="1" customWidth="1"/>
    <col min="10" max="10" width="9.83984375" bestFit="1" customWidth="1"/>
    <col min="11" max="11" width="7" bestFit="1" customWidth="1"/>
    <col min="12" max="12" width="7.68359375" bestFit="1" customWidth="1"/>
    <col min="13" max="13" width="5.578125" bestFit="1" customWidth="1"/>
    <col min="14" max="14" width="7.68359375" bestFit="1" customWidth="1"/>
    <col min="15" max="15" width="11.26171875" bestFit="1" customWidth="1"/>
    <col min="16" max="16" width="10.15625" bestFit="1" customWidth="1"/>
    <col min="17" max="17" width="11.83984375" bestFit="1" customWidth="1"/>
    <col min="18" max="18" width="9" bestFit="1" customWidth="1"/>
  </cols>
  <sheetData>
    <row r="1" spans="1:18" ht="57.6" x14ac:dyDescent="0.55000000000000004">
      <c r="A1" s="27" t="str">
        <f>'MG Universe'!A1</f>
        <v>Ticker</v>
      </c>
      <c r="B1" s="27" t="str">
        <f>'MG Universe'!B1</f>
        <v>Name with Link</v>
      </c>
      <c r="C1" s="27" t="s">
        <v>21</v>
      </c>
      <c r="D1" s="27" t="str">
        <f>'MG Universe'!D1</f>
        <v>Investor Type</v>
      </c>
      <c r="E1" s="27" t="str">
        <f>'MG Universe'!E1</f>
        <v>MG Opinion</v>
      </c>
      <c r="F1" s="27" t="str">
        <f>'MG Universe'!F1</f>
        <v>Full MG Rating</v>
      </c>
      <c r="G1" s="28" t="str">
        <f>'MG Universe'!G1</f>
        <v>Latest Valuation Date</v>
      </c>
      <c r="H1" s="29" t="str">
        <f>'MG Universe'!H1</f>
        <v>MG Value</v>
      </c>
      <c r="I1" s="29" t="str">
        <f>'MG Universe'!I1</f>
        <v>Recent Price</v>
      </c>
      <c r="J1" s="30" t="str">
        <f>'MG Universe'!J1</f>
        <v>Price as a percent of Value</v>
      </c>
      <c r="K1" s="27" t="str">
        <f>'MG Universe'!K1</f>
        <v>PEmg Ratio</v>
      </c>
      <c r="L1" s="30" t="str">
        <f>'MG Universe'!L1</f>
        <v>Div. Yield</v>
      </c>
      <c r="M1" s="27" t="str">
        <f>'MG Universe'!M1</f>
        <v>Beta</v>
      </c>
      <c r="N1" s="27" t="str">
        <f>'MG Universe'!N1</f>
        <v>Current Ratio</v>
      </c>
      <c r="O1" s="29" t="str">
        <f>'MG Universe'!O1</f>
        <v>NCAV</v>
      </c>
      <c r="P1" s="30" t="str">
        <f>'MG Universe'!P1</f>
        <v>Market-implied Growth Rate</v>
      </c>
      <c r="Q1" s="27" t="str">
        <f>'MG Universe'!Q1</f>
        <v>Consecutive Years of Dividend Growth</v>
      </c>
      <c r="R1" s="29" t="str">
        <f>'MG Universe'!R1</f>
        <v>Graham Number</v>
      </c>
    </row>
    <row r="2" spans="1:18" x14ac:dyDescent="0.55000000000000004">
      <c r="A2" s="18" t="s">
        <v>42</v>
      </c>
      <c r="B2" s="19" t="str">
        <f>VLOOKUP($A2,'MG Universe'!$A$2:$R$9994,2)</f>
        <v>Agilent Technologies Inc</v>
      </c>
      <c r="C2" s="19" t="str">
        <f>VLOOKUP($A2,'MG Universe'!$A$2:$R$9994,3)</f>
        <v>C</v>
      </c>
      <c r="D2" s="19" t="str">
        <f>VLOOKUP($A2,'MG Universe'!$A$2:$R$9994,4)</f>
        <v>E</v>
      </c>
      <c r="E2" s="19" t="str">
        <f>VLOOKUP($A2,'MG Universe'!$A$2:$R$9994,5)</f>
        <v>O</v>
      </c>
      <c r="F2" s="20" t="str">
        <f>VLOOKUP($A2,'MG Universe'!$A$2:$R$9994,6)</f>
        <v>EO</v>
      </c>
      <c r="G2" s="103">
        <f>VLOOKUP($A2,'MG Universe'!$A$2:$R$9994,7)</f>
        <v>42411</v>
      </c>
      <c r="H2" s="22">
        <f>VLOOKUP($A2,'MG Universe'!$A$2:$R$9994,8)</f>
        <v>1.82</v>
      </c>
      <c r="I2" s="22">
        <f>VLOOKUP($A2,'MG Universe'!$A$2:$R$9994,9)</f>
        <v>39.04</v>
      </c>
      <c r="J2" s="23">
        <f>VLOOKUP($A2,'MG Universe'!$A$2:$R$9994,10)</f>
        <v>21.450500000000002</v>
      </c>
      <c r="K2" s="105">
        <f>VLOOKUP($A2,'MG Universe'!$A$2:$R$9994,11)</f>
        <v>22.06</v>
      </c>
      <c r="L2" s="23">
        <f>VLOOKUP($A2,'MG Universe'!$A$2:$R$9994,12)</f>
        <v>1.18E-2</v>
      </c>
      <c r="M2" s="106">
        <f>VLOOKUP($A2,'MG Universe'!$A$2:$R$9994,13)</f>
        <v>1.5</v>
      </c>
      <c r="N2" s="107">
        <f>VLOOKUP($A2,'MG Universe'!$A$2:$R$9994,14)</f>
        <v>3.78</v>
      </c>
      <c r="O2" s="22">
        <f>VLOOKUP($A2,'MG Universe'!$A$2:$R$9994,15)</f>
        <v>1.1200000000000001</v>
      </c>
      <c r="P2" s="23">
        <f>VLOOKUP($A2,'MG Universe'!$A$2:$R$9994,16)</f>
        <v>6.7799999999999999E-2</v>
      </c>
      <c r="Q2" s="109">
        <f>VLOOKUP($A2,'MG Universe'!$A$2:$R$9994,17)</f>
        <v>0</v>
      </c>
      <c r="R2" s="22">
        <f>VLOOKUP($A2,'MG Universe'!$A$2:$R$9994,18)</f>
        <v>22.98</v>
      </c>
    </row>
    <row r="3" spans="1:18" x14ac:dyDescent="0.55000000000000004">
      <c r="A3" s="18" t="s">
        <v>1021</v>
      </c>
      <c r="B3" s="19" t="str">
        <f>VLOOKUP($A3,'MG Universe'!$A$2:$R$9994,2)</f>
        <v>Alcoa Inc</v>
      </c>
      <c r="C3" s="19" t="str">
        <f>VLOOKUP($A3,'MG Universe'!$A$2:$R$9994,3)</f>
        <v>F</v>
      </c>
      <c r="D3" s="19" t="str">
        <f>VLOOKUP($A3,'MG Universe'!$A$2:$R$9994,4)</f>
        <v>S</v>
      </c>
      <c r="E3" s="19" t="str">
        <f>VLOOKUP($A3,'MG Universe'!$A$2:$R$9994,5)</f>
        <v>O</v>
      </c>
      <c r="F3" s="20" t="str">
        <f>VLOOKUP($A3,'MG Universe'!$A$2:$R$9994,6)</f>
        <v>SO</v>
      </c>
      <c r="G3" s="103">
        <f>VLOOKUP($A3,'MG Universe'!$A$2:$R$9994,7)</f>
        <v>42028</v>
      </c>
      <c r="H3" s="22">
        <f>VLOOKUP($A3,'MG Universe'!$A$2:$R$9994,8)</f>
        <v>0</v>
      </c>
      <c r="I3" s="22">
        <f>VLOOKUP($A3,'MG Universe'!$A$2:$R$9994,9)</f>
        <v>9.6300000000000008</v>
      </c>
      <c r="J3" s="23" t="str">
        <f>VLOOKUP($A3,'MG Universe'!$A$2:$R$9994,10)</f>
        <v>N/A</v>
      </c>
      <c r="K3" s="105" t="str">
        <f>VLOOKUP($A3,'MG Universe'!$A$2:$R$9994,11)</f>
        <v>N/A</v>
      </c>
      <c r="L3" s="23">
        <f>VLOOKUP($A3,'MG Universe'!$A$2:$R$9994,12)</f>
        <v>1.2500000000000001E-2</v>
      </c>
      <c r="M3" s="106">
        <f>VLOOKUP($A3,'MG Universe'!$A$2:$R$9994,13)</f>
        <v>1.2</v>
      </c>
      <c r="N3" s="107">
        <f>VLOOKUP($A3,'MG Universe'!$A$2:$R$9994,14)</f>
        <v>1.81</v>
      </c>
      <c r="O3" s="22">
        <f>VLOOKUP($A3,'MG Universe'!$A$2:$R$9994,15)</f>
        <v>-12.48</v>
      </c>
      <c r="P3" s="23">
        <f>VLOOKUP($A3,'MG Universe'!$A$2:$R$9994,16)</f>
        <v>-0.2959</v>
      </c>
      <c r="Q3" s="109">
        <f>VLOOKUP($A3,'MG Universe'!$A$2:$R$9994,17)</f>
        <v>0</v>
      </c>
      <c r="R3" s="22">
        <f>VLOOKUP($A3,'MG Universe'!$A$2:$R$9994,18)</f>
        <v>0</v>
      </c>
    </row>
    <row r="4" spans="1:18" x14ac:dyDescent="0.55000000000000004">
      <c r="A4" s="18" t="s">
        <v>1023</v>
      </c>
      <c r="B4" s="19" t="str">
        <f>VLOOKUP($A4,'MG Universe'!$A$2:$R$9994,2)</f>
        <v>American Airlines Group Inc</v>
      </c>
      <c r="C4" s="19" t="str">
        <f>VLOOKUP($A4,'MG Universe'!$A$2:$R$9994,3)</f>
        <v>F</v>
      </c>
      <c r="D4" s="19" t="str">
        <f>VLOOKUP($A4,'MG Universe'!$A$2:$R$9994,4)</f>
        <v>S</v>
      </c>
      <c r="E4" s="19" t="str">
        <f>VLOOKUP($A4,'MG Universe'!$A$2:$R$9994,5)</f>
        <v>O</v>
      </c>
      <c r="F4" s="20" t="str">
        <f>VLOOKUP($A4,'MG Universe'!$A$2:$R$9994,6)</f>
        <v>SO</v>
      </c>
      <c r="G4" s="103">
        <f>VLOOKUP($A4,'MG Universe'!$A$2:$R$9994,7)</f>
        <v>42174</v>
      </c>
      <c r="H4" s="22">
        <f>VLOOKUP($A4,'MG Universe'!$A$2:$R$9994,8)</f>
        <v>0</v>
      </c>
      <c r="I4" s="22">
        <f>VLOOKUP($A4,'MG Universe'!$A$2:$R$9994,9)</f>
        <v>41.59</v>
      </c>
      <c r="J4" s="23" t="str">
        <f>VLOOKUP($A4,'MG Universe'!$A$2:$R$9994,10)</f>
        <v>N/A</v>
      </c>
      <c r="K4" s="105" t="str">
        <f>VLOOKUP($A4,'MG Universe'!$A$2:$R$9994,11)</f>
        <v>N/A</v>
      </c>
      <c r="L4" s="23">
        <f>VLOOKUP($A4,'MG Universe'!$A$2:$R$9994,12)</f>
        <v>9.5999999999999992E-3</v>
      </c>
      <c r="M4" s="106" t="e">
        <f>VLOOKUP($A4,'MG Universe'!$A$2:$R$9994,13)</f>
        <v>#N/A</v>
      </c>
      <c r="N4" s="107">
        <f>VLOOKUP($A4,'MG Universe'!$A$2:$R$9994,14)</f>
        <v>0.99</v>
      </c>
      <c r="O4" s="22">
        <f>VLOOKUP($A4,'MG Universe'!$A$2:$R$9994,15)</f>
        <v>-41.65</v>
      </c>
      <c r="P4" s="23">
        <f>VLOOKUP($A4,'MG Universe'!$A$2:$R$9994,16)</f>
        <v>-0.39500000000000002</v>
      </c>
      <c r="Q4" s="109">
        <f>VLOOKUP($A4,'MG Universe'!$A$2:$R$9994,17)</f>
        <v>0</v>
      </c>
      <c r="R4" s="22">
        <f>VLOOKUP($A4,'MG Universe'!$A$2:$R$9994,18)</f>
        <v>0</v>
      </c>
    </row>
    <row r="5" spans="1:18" x14ac:dyDescent="0.55000000000000004">
      <c r="A5" s="18" t="s">
        <v>349</v>
      </c>
      <c r="B5" s="19" t="str">
        <f>VLOOKUP($A5,'MG Universe'!$A$2:$R$9994,2)</f>
        <v>Apple Inc.</v>
      </c>
      <c r="C5" s="19" t="str">
        <f>VLOOKUP($A5,'MG Universe'!$A$2:$R$9994,3)</f>
        <v>C</v>
      </c>
      <c r="D5" s="19" t="str">
        <f>VLOOKUP($A5,'MG Universe'!$A$2:$R$9994,4)</f>
        <v>S</v>
      </c>
      <c r="E5" s="19" t="str">
        <f>VLOOKUP($A5,'MG Universe'!$A$2:$R$9994,5)</f>
        <v>U</v>
      </c>
      <c r="F5" s="20" t="str">
        <f>VLOOKUP($A5,'MG Universe'!$A$2:$R$9994,6)</f>
        <v>SU</v>
      </c>
      <c r="G5" s="103">
        <f>VLOOKUP($A5,'MG Universe'!$A$2:$R$9994,7)</f>
        <v>42409</v>
      </c>
      <c r="H5" s="22">
        <f>VLOOKUP($A5,'MG Universe'!$A$2:$R$9994,8)</f>
        <v>297.73</v>
      </c>
      <c r="I5" s="22">
        <f>VLOOKUP($A5,'MG Universe'!$A$2:$R$9994,9)</f>
        <v>100.75</v>
      </c>
      <c r="J5" s="23">
        <f>VLOOKUP($A5,'MG Universe'!$A$2:$R$9994,10)</f>
        <v>0.33839999999999998</v>
      </c>
      <c r="K5" s="105">
        <f>VLOOKUP($A5,'MG Universe'!$A$2:$R$9994,11)</f>
        <v>13.03</v>
      </c>
      <c r="L5" s="23">
        <f>VLOOKUP($A5,'MG Universe'!$A$2:$R$9994,12)</f>
        <v>2.06E-2</v>
      </c>
      <c r="M5" s="106">
        <f>VLOOKUP($A5,'MG Universe'!$A$2:$R$9994,13)</f>
        <v>1</v>
      </c>
      <c r="N5" s="107">
        <f>VLOOKUP($A5,'MG Universe'!$A$2:$R$9994,14)</f>
        <v>1</v>
      </c>
      <c r="O5" s="22">
        <f>VLOOKUP($A5,'MG Universe'!$A$2:$R$9994,15)</f>
        <v>-15.87</v>
      </c>
      <c r="P5" s="23">
        <f>VLOOKUP($A5,'MG Universe'!$A$2:$R$9994,16)</f>
        <v>2.2700000000000001E-2</v>
      </c>
      <c r="Q5" s="109">
        <f>VLOOKUP($A5,'MG Universe'!$A$2:$R$9994,17)</f>
        <v>5</v>
      </c>
      <c r="R5" s="22">
        <f>VLOOKUP($A5,'MG Universe'!$A$2:$R$9994,18)</f>
        <v>66.2</v>
      </c>
    </row>
    <row r="6" spans="1:18" x14ac:dyDescent="0.55000000000000004">
      <c r="A6" s="18" t="s">
        <v>827</v>
      </c>
      <c r="B6" s="19" t="str">
        <f>VLOOKUP($A6,'MG Universe'!$A$2:$R$9994,2)</f>
        <v>AbbVie Inc</v>
      </c>
      <c r="C6" s="19" t="str">
        <f>VLOOKUP($A6,'MG Universe'!$A$2:$R$9994,3)</f>
        <v>D+</v>
      </c>
      <c r="D6" s="19" t="str">
        <f>VLOOKUP($A6,'MG Universe'!$A$2:$R$9994,4)</f>
        <v>S</v>
      </c>
      <c r="E6" s="19" t="str">
        <f>VLOOKUP($A6,'MG Universe'!$A$2:$R$9994,5)</f>
        <v>O</v>
      </c>
      <c r="F6" s="20" t="str">
        <f>VLOOKUP($A6,'MG Universe'!$A$2:$R$9994,6)</f>
        <v>SO</v>
      </c>
      <c r="G6" s="103">
        <f>VLOOKUP($A6,'MG Universe'!$A$2:$R$9994,7)</f>
        <v>42144</v>
      </c>
      <c r="H6" s="22">
        <f>VLOOKUP($A6,'MG Universe'!$A$2:$R$9994,8)</f>
        <v>38.67</v>
      </c>
      <c r="I6" s="22">
        <f>VLOOKUP($A6,'MG Universe'!$A$2:$R$9994,9)</f>
        <v>55.69</v>
      </c>
      <c r="J6" s="23">
        <f>VLOOKUP($A6,'MG Universe'!$A$2:$R$9994,10)</f>
        <v>1.4400999999999999</v>
      </c>
      <c r="K6" s="105">
        <f>VLOOKUP($A6,'MG Universe'!$A$2:$R$9994,11)</f>
        <v>19.96</v>
      </c>
      <c r="L6" s="23">
        <f>VLOOKUP($A6,'MG Universe'!$A$2:$R$9994,12)</f>
        <v>4.0899999999999999E-2</v>
      </c>
      <c r="M6" s="106">
        <f>VLOOKUP($A6,'MG Universe'!$A$2:$R$9994,13)</f>
        <v>1.6</v>
      </c>
      <c r="N6" s="107">
        <f>VLOOKUP($A6,'MG Universe'!$A$2:$R$9994,14)</f>
        <v>1.39</v>
      </c>
      <c r="O6" s="22">
        <f>VLOOKUP($A6,'MG Universe'!$A$2:$R$9994,15)</f>
        <v>-6.17</v>
      </c>
      <c r="P6" s="23">
        <f>VLOOKUP($A6,'MG Universe'!$A$2:$R$9994,16)</f>
        <v>5.7299999999999997E-2</v>
      </c>
      <c r="Q6" s="109">
        <f>VLOOKUP($A6,'MG Universe'!$A$2:$R$9994,17)</f>
        <v>0</v>
      </c>
      <c r="R6" s="22">
        <f>VLOOKUP($A6,'MG Universe'!$A$2:$R$9994,18)</f>
        <v>0</v>
      </c>
    </row>
    <row r="7" spans="1:18" x14ac:dyDescent="0.55000000000000004">
      <c r="A7" s="18" t="s">
        <v>706</v>
      </c>
      <c r="B7" s="19" t="str">
        <f>VLOOKUP($A7,'MG Universe'!$A$2:$R$9994,2)</f>
        <v>AmerisourceBergen Corp.</v>
      </c>
      <c r="C7" s="19" t="str">
        <f>VLOOKUP($A7,'MG Universe'!$A$2:$R$9994,3)</f>
        <v>D</v>
      </c>
      <c r="D7" s="19" t="str">
        <f>VLOOKUP($A7,'MG Universe'!$A$2:$R$9994,4)</f>
        <v>S</v>
      </c>
      <c r="E7" s="19" t="str">
        <f>VLOOKUP($A7,'MG Universe'!$A$2:$R$9994,5)</f>
        <v>O</v>
      </c>
      <c r="F7" s="20" t="str">
        <f>VLOOKUP($A7,'MG Universe'!$A$2:$R$9994,6)</f>
        <v>SO</v>
      </c>
      <c r="G7" s="103">
        <f>VLOOKUP($A7,'MG Universe'!$A$2:$R$9994,7)</f>
        <v>42095</v>
      </c>
      <c r="H7" s="22">
        <f>VLOOKUP($A7,'MG Universe'!$A$2:$R$9994,8)</f>
        <v>50.47</v>
      </c>
      <c r="I7" s="22">
        <f>VLOOKUP($A7,'MG Universe'!$A$2:$R$9994,9)</f>
        <v>87.63</v>
      </c>
      <c r="J7" s="23">
        <f>VLOOKUP($A7,'MG Universe'!$A$2:$R$9994,10)</f>
        <v>1.7363</v>
      </c>
      <c r="K7" s="105">
        <f>VLOOKUP($A7,'MG Universe'!$A$2:$R$9994,11)</f>
        <v>32.1</v>
      </c>
      <c r="L7" s="23">
        <f>VLOOKUP($A7,'MG Universe'!$A$2:$R$9994,12)</f>
        <v>1.55E-2</v>
      </c>
      <c r="M7" s="106">
        <f>VLOOKUP($A7,'MG Universe'!$A$2:$R$9994,13)</f>
        <v>0.8</v>
      </c>
      <c r="N7" s="107">
        <f>VLOOKUP($A7,'MG Universe'!$A$2:$R$9994,14)</f>
        <v>0.97</v>
      </c>
      <c r="O7" s="22">
        <f>VLOOKUP($A7,'MG Universe'!$A$2:$R$9994,15)</f>
        <v>-13.63</v>
      </c>
      <c r="P7" s="23">
        <f>VLOOKUP($A7,'MG Universe'!$A$2:$R$9994,16)</f>
        <v>0.11799999999999999</v>
      </c>
      <c r="Q7" s="109">
        <f>VLOOKUP($A7,'MG Universe'!$A$2:$R$9994,17)</f>
        <v>0</v>
      </c>
      <c r="R7" s="22">
        <f>VLOOKUP($A7,'MG Universe'!$A$2:$R$9994,18)</f>
        <v>0</v>
      </c>
    </row>
    <row r="8" spans="1:18" x14ac:dyDescent="0.55000000000000004">
      <c r="A8" s="18" t="s">
        <v>830</v>
      </c>
      <c r="B8" s="19" t="str">
        <f>VLOOKUP($A8,'MG Universe'!$A$2:$R$9994,2)</f>
        <v>Abbott Laboratories</v>
      </c>
      <c r="C8" s="19" t="str">
        <f>VLOOKUP($A8,'MG Universe'!$A$2:$R$9994,3)</f>
        <v>D+</v>
      </c>
      <c r="D8" s="19" t="str">
        <f>VLOOKUP($A8,'MG Universe'!$A$2:$R$9994,4)</f>
        <v>S</v>
      </c>
      <c r="E8" s="19" t="str">
        <f>VLOOKUP($A8,'MG Universe'!$A$2:$R$9994,5)</f>
        <v>O</v>
      </c>
      <c r="F8" s="20" t="str">
        <f>VLOOKUP($A8,'MG Universe'!$A$2:$R$9994,6)</f>
        <v>SO</v>
      </c>
      <c r="G8" s="103">
        <f>VLOOKUP($A8,'MG Universe'!$A$2:$R$9994,7)</f>
        <v>42075</v>
      </c>
      <c r="H8" s="22">
        <f>VLOOKUP($A8,'MG Universe'!$A$2:$R$9994,8)</f>
        <v>3.15</v>
      </c>
      <c r="I8" s="22">
        <f>VLOOKUP($A8,'MG Universe'!$A$2:$R$9994,9)</f>
        <v>39.33</v>
      </c>
      <c r="J8" s="23">
        <f>VLOOKUP($A8,'MG Universe'!$A$2:$R$9994,10)</f>
        <v>12.4857</v>
      </c>
      <c r="K8" s="105">
        <f>VLOOKUP($A8,'MG Universe'!$A$2:$R$9994,11)</f>
        <v>17.329999999999998</v>
      </c>
      <c r="L8" s="23">
        <f>VLOOKUP($A8,'MG Universe'!$A$2:$R$9994,12)</f>
        <v>2.64E-2</v>
      </c>
      <c r="M8" s="106">
        <f>VLOOKUP($A8,'MG Universe'!$A$2:$R$9994,13)</f>
        <v>1</v>
      </c>
      <c r="N8" s="107">
        <f>VLOOKUP($A8,'MG Universe'!$A$2:$R$9994,14)</f>
        <v>1.45</v>
      </c>
      <c r="O8" s="22">
        <f>VLOOKUP($A8,'MG Universe'!$A$2:$R$9994,15)</f>
        <v>-2.95</v>
      </c>
      <c r="P8" s="23">
        <f>VLOOKUP($A8,'MG Universe'!$A$2:$R$9994,16)</f>
        <v>4.41E-2</v>
      </c>
      <c r="Q8" s="109">
        <f>VLOOKUP($A8,'MG Universe'!$A$2:$R$9994,17)</f>
        <v>0</v>
      </c>
      <c r="R8" s="22">
        <f>VLOOKUP($A8,'MG Universe'!$A$2:$R$9994,18)</f>
        <v>0</v>
      </c>
    </row>
    <row r="9" spans="1:18" x14ac:dyDescent="0.55000000000000004">
      <c r="A9" s="18" t="s">
        <v>1152</v>
      </c>
      <c r="B9" s="19" t="str">
        <f>VLOOKUP($A9,'MG Universe'!$A$2:$R$9994,2)</f>
        <v>American Campus Communities, Inc.</v>
      </c>
      <c r="C9" s="19" t="str">
        <f>VLOOKUP($A9,'MG Universe'!$A$2:$R$9994,3)</f>
        <v>D+</v>
      </c>
      <c r="D9" s="19" t="str">
        <f>VLOOKUP($A9,'MG Universe'!$A$2:$R$9994,4)</f>
        <v>S</v>
      </c>
      <c r="E9" s="19" t="str">
        <f>VLOOKUP($A9,'MG Universe'!$A$2:$R$9994,5)</f>
        <v>F</v>
      </c>
      <c r="F9" s="20" t="str">
        <f>VLOOKUP($A9,'MG Universe'!$A$2:$R$9994,6)</f>
        <v>SF</v>
      </c>
      <c r="G9" s="103">
        <f>VLOOKUP($A9,'MG Universe'!$A$2:$R$9994,7)</f>
        <v>42220</v>
      </c>
      <c r="H9" s="22">
        <f>VLOOKUP($A9,'MG Universe'!$A$2:$R$9994,8)</f>
        <v>48.92</v>
      </c>
      <c r="I9" s="22">
        <f>VLOOKUP($A9,'MG Universe'!$A$2:$R$9994,9)</f>
        <v>44.88</v>
      </c>
      <c r="J9" s="23">
        <f>VLOOKUP($A9,'MG Universe'!$A$2:$R$9994,10)</f>
        <v>0.91739999999999999</v>
      </c>
      <c r="K9" s="105">
        <f>VLOOKUP($A9,'MG Universe'!$A$2:$R$9994,11)</f>
        <v>35.340000000000003</v>
      </c>
      <c r="L9" s="23">
        <f>VLOOKUP($A9,'MG Universe'!$A$2:$R$9994,12)</f>
        <v>3.5700000000000003E-2</v>
      </c>
      <c r="M9" s="106">
        <f>VLOOKUP($A9,'MG Universe'!$A$2:$R$9994,13)</f>
        <v>0.2</v>
      </c>
      <c r="N9" s="107">
        <f>VLOOKUP($A9,'MG Universe'!$A$2:$R$9994,14)</f>
        <v>1.1499999999999999</v>
      </c>
      <c r="O9" s="22">
        <f>VLOOKUP($A9,'MG Universe'!$A$2:$R$9994,15)</f>
        <v>-25.77</v>
      </c>
      <c r="P9" s="23">
        <f>VLOOKUP($A9,'MG Universe'!$A$2:$R$9994,16)</f>
        <v>0.13420000000000001</v>
      </c>
      <c r="Q9" s="109">
        <f>VLOOKUP($A9,'MG Universe'!$A$2:$R$9994,17)</f>
        <v>0</v>
      </c>
      <c r="R9" s="22">
        <f>VLOOKUP($A9,'MG Universe'!$A$2:$R$9994,18)</f>
        <v>0</v>
      </c>
    </row>
    <row r="10" spans="1:18" x14ac:dyDescent="0.55000000000000004">
      <c r="A10" s="18" t="s">
        <v>632</v>
      </c>
      <c r="B10" s="19" t="str">
        <f>VLOOKUP($A10,'MG Universe'!$A$2:$R$9994,2)</f>
        <v>Accenture Plc</v>
      </c>
      <c r="C10" s="19" t="str">
        <f>VLOOKUP($A10,'MG Universe'!$A$2:$R$9994,3)</f>
        <v>C+</v>
      </c>
      <c r="D10" s="19" t="str">
        <f>VLOOKUP($A10,'MG Universe'!$A$2:$R$9994,4)</f>
        <v>E</v>
      </c>
      <c r="E10" s="19" t="str">
        <f>VLOOKUP($A10,'MG Universe'!$A$2:$R$9994,5)</f>
        <v>F</v>
      </c>
      <c r="F10" s="20" t="str">
        <f>VLOOKUP($A10,'MG Universe'!$A$2:$R$9994,6)</f>
        <v>EF</v>
      </c>
      <c r="G10" s="103">
        <f>VLOOKUP($A10,'MG Universe'!$A$2:$R$9994,7)</f>
        <v>42404</v>
      </c>
      <c r="H10" s="22">
        <f>VLOOKUP($A10,'MG Universe'!$A$2:$R$9994,8)</f>
        <v>111.82</v>
      </c>
      <c r="I10" s="22">
        <f>VLOOKUP($A10,'MG Universe'!$A$2:$R$9994,9)</f>
        <v>102.66</v>
      </c>
      <c r="J10" s="23">
        <f>VLOOKUP($A10,'MG Universe'!$A$2:$R$9994,10)</f>
        <v>0.91810000000000003</v>
      </c>
      <c r="K10" s="105">
        <f>VLOOKUP($A10,'MG Universe'!$A$2:$R$9994,11)</f>
        <v>21.39</v>
      </c>
      <c r="L10" s="23">
        <f>VLOOKUP($A10,'MG Universe'!$A$2:$R$9994,12)</f>
        <v>2.1399999999999999E-2</v>
      </c>
      <c r="M10" s="106">
        <f>VLOOKUP($A10,'MG Universe'!$A$2:$R$9994,13)</f>
        <v>1.1000000000000001</v>
      </c>
      <c r="N10" s="107">
        <f>VLOOKUP($A10,'MG Universe'!$A$2:$R$9994,14)</f>
        <v>1.25</v>
      </c>
      <c r="O10" s="22">
        <f>VLOOKUP($A10,'MG Universe'!$A$2:$R$9994,15)</f>
        <v>-2.19</v>
      </c>
      <c r="P10" s="23">
        <f>VLOOKUP($A10,'MG Universe'!$A$2:$R$9994,16)</f>
        <v>6.4399999999999999E-2</v>
      </c>
      <c r="Q10" s="109">
        <f>VLOOKUP($A10,'MG Universe'!$A$2:$R$9994,17)</f>
        <v>5</v>
      </c>
      <c r="R10" s="22">
        <f>VLOOKUP($A10,'MG Universe'!$A$2:$R$9994,18)</f>
        <v>32.47</v>
      </c>
    </row>
    <row r="11" spans="1:18" x14ac:dyDescent="0.55000000000000004">
      <c r="A11" s="18" t="s">
        <v>1027</v>
      </c>
      <c r="B11" s="19" t="str">
        <f>VLOOKUP($A11,'MG Universe'!$A$2:$R$9994,2)</f>
        <v>Adobe Systems Incorporated</v>
      </c>
      <c r="C11" s="19" t="str">
        <f>VLOOKUP($A11,'MG Universe'!$A$2:$R$9994,3)</f>
        <v>F</v>
      </c>
      <c r="D11" s="19" t="str">
        <f>VLOOKUP($A11,'MG Universe'!$A$2:$R$9994,4)</f>
        <v>S</v>
      </c>
      <c r="E11" s="19" t="str">
        <f>VLOOKUP($A11,'MG Universe'!$A$2:$R$9994,5)</f>
        <v>O</v>
      </c>
      <c r="F11" s="20" t="str">
        <f>VLOOKUP($A11,'MG Universe'!$A$2:$R$9994,6)</f>
        <v>SO</v>
      </c>
      <c r="G11" s="103">
        <f>VLOOKUP($A11,'MG Universe'!$A$2:$R$9994,7)</f>
        <v>42170</v>
      </c>
      <c r="H11" s="22">
        <f>VLOOKUP($A11,'MG Universe'!$A$2:$R$9994,8)</f>
        <v>6.69</v>
      </c>
      <c r="I11" s="22">
        <f>VLOOKUP($A11,'MG Universe'!$A$2:$R$9994,9)</f>
        <v>88.39</v>
      </c>
      <c r="J11" s="23">
        <f>VLOOKUP($A11,'MG Universe'!$A$2:$R$9994,10)</f>
        <v>13.212300000000001</v>
      </c>
      <c r="K11" s="105">
        <f>VLOOKUP($A11,'MG Universe'!$A$2:$R$9994,11)</f>
        <v>71.28</v>
      </c>
      <c r="L11" s="23" t="str">
        <f>VLOOKUP($A11,'MG Universe'!$A$2:$R$9994,12)</f>
        <v>N/A</v>
      </c>
      <c r="M11" s="106">
        <f>VLOOKUP($A11,'MG Universe'!$A$2:$R$9994,13)</f>
        <v>1.3</v>
      </c>
      <c r="N11" s="107">
        <f>VLOOKUP($A11,'MG Universe'!$A$2:$R$9994,14)</f>
        <v>2.2200000000000002</v>
      </c>
      <c r="O11" s="22">
        <f>VLOOKUP($A11,'MG Universe'!$A$2:$R$9994,15)</f>
        <v>-0.88</v>
      </c>
      <c r="P11" s="23">
        <f>VLOOKUP($A11,'MG Universe'!$A$2:$R$9994,16)</f>
        <v>0.31390000000000001</v>
      </c>
      <c r="Q11" s="109">
        <f>VLOOKUP($A11,'MG Universe'!$A$2:$R$9994,17)</f>
        <v>0</v>
      </c>
      <c r="R11" s="22">
        <f>VLOOKUP($A11,'MG Universe'!$A$2:$R$9994,18)</f>
        <v>0</v>
      </c>
    </row>
    <row r="12" spans="1:18" x14ac:dyDescent="0.55000000000000004">
      <c r="A12" s="18" t="s">
        <v>351</v>
      </c>
      <c r="B12" s="19" t="str">
        <f>VLOOKUP($A12,'MG Universe'!$A$2:$R$9994,2)</f>
        <v>Analog Devices, Inc.</v>
      </c>
      <c r="C12" s="19" t="str">
        <f>VLOOKUP($A12,'MG Universe'!$A$2:$R$9994,3)</f>
        <v>C</v>
      </c>
      <c r="D12" s="19" t="str">
        <f>VLOOKUP($A12,'MG Universe'!$A$2:$R$9994,4)</f>
        <v>E</v>
      </c>
      <c r="E12" s="19" t="str">
        <f>VLOOKUP($A12,'MG Universe'!$A$2:$R$9994,5)</f>
        <v>O</v>
      </c>
      <c r="F12" s="20" t="str">
        <f>VLOOKUP($A12,'MG Universe'!$A$2:$R$9994,6)</f>
        <v>EO</v>
      </c>
      <c r="G12" s="103">
        <f>VLOOKUP($A12,'MG Universe'!$A$2:$R$9994,7)</f>
        <v>42415</v>
      </c>
      <c r="H12" s="22">
        <f>VLOOKUP($A12,'MG Universe'!$A$2:$R$9994,8)</f>
        <v>19.23</v>
      </c>
      <c r="I12" s="22">
        <f>VLOOKUP($A12,'MG Universe'!$A$2:$R$9994,9)</f>
        <v>55.41</v>
      </c>
      <c r="J12" s="23">
        <f>VLOOKUP($A12,'MG Universe'!$A$2:$R$9994,10)</f>
        <v>2.8814000000000002</v>
      </c>
      <c r="K12" s="105">
        <f>VLOOKUP($A12,'MG Universe'!$A$2:$R$9994,11)</f>
        <v>24.85</v>
      </c>
      <c r="L12" s="23">
        <f>VLOOKUP($A12,'MG Universe'!$A$2:$R$9994,12)</f>
        <v>3.0300000000000001E-2</v>
      </c>
      <c r="M12" s="106">
        <f>VLOOKUP($A12,'MG Universe'!$A$2:$R$9994,13)</f>
        <v>1.1000000000000001</v>
      </c>
      <c r="N12" s="107">
        <f>VLOOKUP($A12,'MG Universe'!$A$2:$R$9994,14)</f>
        <v>3.66</v>
      </c>
      <c r="O12" s="22">
        <f>VLOOKUP($A12,'MG Universe'!$A$2:$R$9994,15)</f>
        <v>6.6</v>
      </c>
      <c r="P12" s="23">
        <f>VLOOKUP($A12,'MG Universe'!$A$2:$R$9994,16)</f>
        <v>8.1699999999999995E-2</v>
      </c>
      <c r="Q12" s="109">
        <f>VLOOKUP($A12,'MG Universe'!$A$2:$R$9994,17)</f>
        <v>13</v>
      </c>
      <c r="R12" s="22">
        <f>VLOOKUP($A12,'MG Universe'!$A$2:$R$9994,18)</f>
        <v>29.94</v>
      </c>
    </row>
    <row r="13" spans="1:18" x14ac:dyDescent="0.55000000000000004">
      <c r="A13" s="18" t="s">
        <v>77</v>
      </c>
      <c r="B13" s="19" t="str">
        <f>VLOOKUP($A13,'MG Universe'!$A$2:$R$9994,2)</f>
        <v>Archer Daniels Midland Company</v>
      </c>
      <c r="C13" s="19" t="str">
        <f>VLOOKUP($A13,'MG Universe'!$A$2:$R$9994,3)</f>
        <v>A-</v>
      </c>
      <c r="D13" s="19" t="str">
        <f>VLOOKUP($A13,'MG Universe'!$A$2:$R$9994,4)</f>
        <v>E</v>
      </c>
      <c r="E13" s="19" t="str">
        <f>VLOOKUP($A13,'MG Universe'!$A$2:$R$9994,5)</f>
        <v>O</v>
      </c>
      <c r="F13" s="20" t="str">
        <f>VLOOKUP($A13,'MG Universe'!$A$2:$R$9994,6)</f>
        <v>EO</v>
      </c>
      <c r="G13" s="103">
        <f>VLOOKUP($A13,'MG Universe'!$A$2:$R$9994,7)</f>
        <v>42405</v>
      </c>
      <c r="H13" s="22">
        <f>VLOOKUP($A13,'MG Universe'!$A$2:$R$9994,8)</f>
        <v>9.59</v>
      </c>
      <c r="I13" s="22">
        <f>VLOOKUP($A13,'MG Universe'!$A$2:$R$9994,9)</f>
        <v>35.83</v>
      </c>
      <c r="J13" s="23">
        <f>VLOOKUP($A13,'MG Universe'!$A$2:$R$9994,10)</f>
        <v>3.7362000000000002</v>
      </c>
      <c r="K13" s="105">
        <f>VLOOKUP($A13,'MG Universe'!$A$2:$R$9994,11)</f>
        <v>14.33</v>
      </c>
      <c r="L13" s="23">
        <f>VLOOKUP($A13,'MG Universe'!$A$2:$R$9994,12)</f>
        <v>3.3500000000000002E-2</v>
      </c>
      <c r="M13" s="106">
        <f>VLOOKUP($A13,'MG Universe'!$A$2:$R$9994,13)</f>
        <v>1.1000000000000001</v>
      </c>
      <c r="N13" s="107">
        <f>VLOOKUP($A13,'MG Universe'!$A$2:$R$9994,14)</f>
        <v>1.63</v>
      </c>
      <c r="O13" s="22">
        <f>VLOOKUP($A13,'MG Universe'!$A$2:$R$9994,15)</f>
        <v>0.05</v>
      </c>
      <c r="P13" s="23">
        <f>VLOOKUP($A13,'MG Universe'!$A$2:$R$9994,16)</f>
        <v>2.92E-2</v>
      </c>
      <c r="Q13" s="109">
        <f>VLOOKUP($A13,'MG Universe'!$A$2:$R$9994,17)</f>
        <v>20</v>
      </c>
      <c r="R13" s="22">
        <f>VLOOKUP($A13,'MG Universe'!$A$2:$R$9994,18)</f>
        <v>38.18</v>
      </c>
    </row>
    <row r="14" spans="1:18" x14ac:dyDescent="0.55000000000000004">
      <c r="A14" s="18" t="s">
        <v>213</v>
      </c>
      <c r="B14" s="19" t="str">
        <f>VLOOKUP($A14,'MG Universe'!$A$2:$R$9994,2)</f>
        <v>Automatic Data Processing</v>
      </c>
      <c r="C14" s="19" t="str">
        <f>VLOOKUP($A14,'MG Universe'!$A$2:$R$9994,3)</f>
        <v>B-</v>
      </c>
      <c r="D14" s="19" t="str">
        <f>VLOOKUP($A14,'MG Universe'!$A$2:$R$9994,4)</f>
        <v>E</v>
      </c>
      <c r="E14" s="19" t="str">
        <f>VLOOKUP($A14,'MG Universe'!$A$2:$R$9994,5)</f>
        <v>O</v>
      </c>
      <c r="F14" s="20" t="str">
        <f>VLOOKUP($A14,'MG Universe'!$A$2:$R$9994,6)</f>
        <v>EO</v>
      </c>
      <c r="G14" s="103">
        <f>VLOOKUP($A14,'MG Universe'!$A$2:$R$9994,7)</f>
        <v>42272</v>
      </c>
      <c r="H14" s="22">
        <f>VLOOKUP($A14,'MG Universe'!$A$2:$R$9994,8)</f>
        <v>44.19</v>
      </c>
      <c r="I14" s="22">
        <f>VLOOKUP($A14,'MG Universe'!$A$2:$R$9994,9)</f>
        <v>85.65</v>
      </c>
      <c r="J14" s="23">
        <f>VLOOKUP($A14,'MG Universe'!$A$2:$R$9994,10)</f>
        <v>1.9381999999999999</v>
      </c>
      <c r="K14" s="105">
        <f>VLOOKUP($A14,'MG Universe'!$A$2:$R$9994,11)</f>
        <v>27.63</v>
      </c>
      <c r="L14" s="23">
        <f>VLOOKUP($A14,'MG Universe'!$A$2:$R$9994,12)</f>
        <v>2.4799999999999999E-2</v>
      </c>
      <c r="M14" s="106">
        <f>VLOOKUP($A14,'MG Universe'!$A$2:$R$9994,13)</f>
        <v>0.9</v>
      </c>
      <c r="N14" s="107">
        <f>VLOOKUP($A14,'MG Universe'!$A$2:$R$9994,14)</f>
        <v>1.06</v>
      </c>
      <c r="O14" s="22">
        <f>VLOOKUP($A14,'MG Universe'!$A$2:$R$9994,15)</f>
        <v>1.08</v>
      </c>
      <c r="P14" s="23">
        <f>VLOOKUP($A14,'MG Universe'!$A$2:$R$9994,16)</f>
        <v>9.5600000000000004E-2</v>
      </c>
      <c r="Q14" s="109">
        <f>VLOOKUP($A14,'MG Universe'!$A$2:$R$9994,17)</f>
        <v>20</v>
      </c>
      <c r="R14" s="22">
        <f>VLOOKUP($A14,'MG Universe'!$A$2:$R$9994,18)</f>
        <v>27.36</v>
      </c>
    </row>
    <row r="15" spans="1:18" x14ac:dyDescent="0.55000000000000004">
      <c r="A15" s="18" t="s">
        <v>834</v>
      </c>
      <c r="B15" s="19" t="str">
        <f>VLOOKUP($A15,'MG Universe'!$A$2:$R$9994,2)</f>
        <v>Alliance Data Systems Corporation</v>
      </c>
      <c r="C15" s="19" t="str">
        <f>VLOOKUP($A15,'MG Universe'!$A$2:$R$9994,3)</f>
        <v>D+</v>
      </c>
      <c r="D15" s="19" t="str">
        <f>VLOOKUP($A15,'MG Universe'!$A$2:$R$9994,4)</f>
        <v>S</v>
      </c>
      <c r="E15" s="19" t="str">
        <f>VLOOKUP($A15,'MG Universe'!$A$2:$R$9994,5)</f>
        <v>U</v>
      </c>
      <c r="F15" s="20" t="str">
        <f>VLOOKUP($A15,'MG Universe'!$A$2:$R$9994,6)</f>
        <v>SU</v>
      </c>
      <c r="G15" s="103">
        <f>VLOOKUP($A15,'MG Universe'!$A$2:$R$9994,7)</f>
        <v>42282</v>
      </c>
      <c r="H15" s="22">
        <f>VLOOKUP($A15,'MG Universe'!$A$2:$R$9994,8)</f>
        <v>344.58</v>
      </c>
      <c r="I15" s="22">
        <f>VLOOKUP($A15,'MG Universe'!$A$2:$R$9994,9)</f>
        <v>214.35</v>
      </c>
      <c r="J15" s="23">
        <f>VLOOKUP($A15,'MG Universe'!$A$2:$R$9994,10)</f>
        <v>0.62209999999999999</v>
      </c>
      <c r="K15" s="105">
        <f>VLOOKUP($A15,'MG Universe'!$A$2:$R$9994,11)</f>
        <v>23.95</v>
      </c>
      <c r="L15" s="23" t="str">
        <f>VLOOKUP($A15,'MG Universe'!$A$2:$R$9994,12)</f>
        <v>N/A</v>
      </c>
      <c r="M15" s="106">
        <f>VLOOKUP($A15,'MG Universe'!$A$2:$R$9994,13)</f>
        <v>1.3</v>
      </c>
      <c r="N15" s="107">
        <f>VLOOKUP($A15,'MG Universe'!$A$2:$R$9994,14)</f>
        <v>2.2000000000000002</v>
      </c>
      <c r="O15" s="22">
        <f>VLOOKUP($A15,'MG Universe'!$A$2:$R$9994,15)</f>
        <v>-67.89</v>
      </c>
      <c r="P15" s="23">
        <f>VLOOKUP($A15,'MG Universe'!$A$2:$R$9994,16)</f>
        <v>7.7200000000000005E-2</v>
      </c>
      <c r="Q15" s="109">
        <f>VLOOKUP($A15,'MG Universe'!$A$2:$R$9994,17)</f>
        <v>0</v>
      </c>
      <c r="R15" s="22">
        <f>VLOOKUP($A15,'MG Universe'!$A$2:$R$9994,18)</f>
        <v>94.03</v>
      </c>
    </row>
    <row r="16" spans="1:18" x14ac:dyDescent="0.55000000000000004">
      <c r="A16" s="18" t="s">
        <v>1029</v>
      </c>
      <c r="B16" s="19" t="str">
        <f>VLOOKUP($A16,'MG Universe'!$A$2:$R$9994,2)</f>
        <v>Autodesk, Inc.</v>
      </c>
      <c r="C16" s="19" t="str">
        <f>VLOOKUP($A16,'MG Universe'!$A$2:$R$9994,3)</f>
        <v>F</v>
      </c>
      <c r="D16" s="19" t="str">
        <f>VLOOKUP($A16,'MG Universe'!$A$2:$R$9994,4)</f>
        <v>S</v>
      </c>
      <c r="E16" s="19" t="str">
        <f>VLOOKUP($A16,'MG Universe'!$A$2:$R$9994,5)</f>
        <v>O</v>
      </c>
      <c r="F16" s="20" t="str">
        <f>VLOOKUP($A16,'MG Universe'!$A$2:$R$9994,6)</f>
        <v>SO</v>
      </c>
      <c r="G16" s="103">
        <f>VLOOKUP($A16,'MG Universe'!$A$2:$R$9994,7)</f>
        <v>42228</v>
      </c>
      <c r="H16" s="22">
        <f>VLOOKUP($A16,'MG Universe'!$A$2:$R$9994,8)</f>
        <v>5.33</v>
      </c>
      <c r="I16" s="22">
        <f>VLOOKUP($A16,'MG Universe'!$A$2:$R$9994,9)</f>
        <v>54.41</v>
      </c>
      <c r="J16" s="23">
        <f>VLOOKUP($A16,'MG Universe'!$A$2:$R$9994,10)</f>
        <v>10.208299999999999</v>
      </c>
      <c r="K16" s="105">
        <f>VLOOKUP($A16,'MG Universe'!$A$2:$R$9994,11)</f>
        <v>64.77</v>
      </c>
      <c r="L16" s="23" t="str">
        <f>VLOOKUP($A16,'MG Universe'!$A$2:$R$9994,12)</f>
        <v>N/A</v>
      </c>
      <c r="M16" s="106">
        <f>VLOOKUP($A16,'MG Universe'!$A$2:$R$9994,13)</f>
        <v>2.1</v>
      </c>
      <c r="N16" s="107">
        <f>VLOOKUP($A16,'MG Universe'!$A$2:$R$9994,14)</f>
        <v>1.84</v>
      </c>
      <c r="O16" s="22">
        <f>VLOOKUP($A16,'MG Universe'!$A$2:$R$9994,15)</f>
        <v>-0.91</v>
      </c>
      <c r="P16" s="23">
        <f>VLOOKUP($A16,'MG Universe'!$A$2:$R$9994,16)</f>
        <v>0.28139999999999998</v>
      </c>
      <c r="Q16" s="109">
        <f>VLOOKUP($A16,'MG Universe'!$A$2:$R$9994,17)</f>
        <v>0</v>
      </c>
      <c r="R16" s="22">
        <f>VLOOKUP($A16,'MG Universe'!$A$2:$R$9994,18)</f>
        <v>0</v>
      </c>
    </row>
    <row r="17" spans="1:18" x14ac:dyDescent="0.55000000000000004">
      <c r="A17" s="18" t="s">
        <v>353</v>
      </c>
      <c r="B17" s="19" t="str">
        <f>VLOOKUP($A17,'MG Universe'!$A$2:$R$9994,2)</f>
        <v>ADT Corp</v>
      </c>
      <c r="C17" s="19" t="str">
        <f>VLOOKUP($A17,'MG Universe'!$A$2:$R$9994,3)</f>
        <v>C</v>
      </c>
      <c r="D17" s="19" t="str">
        <f>VLOOKUP($A17,'MG Universe'!$A$2:$R$9994,4)</f>
        <v>S</v>
      </c>
      <c r="E17" s="19" t="str">
        <f>VLOOKUP($A17,'MG Universe'!$A$2:$R$9994,5)</f>
        <v>U</v>
      </c>
      <c r="F17" s="20" t="str">
        <f>VLOOKUP($A17,'MG Universe'!$A$2:$R$9994,6)</f>
        <v>SU</v>
      </c>
      <c r="G17" s="103">
        <f>VLOOKUP($A17,'MG Universe'!$A$2:$R$9994,7)</f>
        <v>42151</v>
      </c>
      <c r="H17" s="22">
        <f>VLOOKUP($A17,'MG Universe'!$A$2:$R$9994,8)</f>
        <v>68.66</v>
      </c>
      <c r="I17" s="22">
        <f>VLOOKUP($A17,'MG Universe'!$A$2:$R$9994,9)</f>
        <v>40.51</v>
      </c>
      <c r="J17" s="23">
        <f>VLOOKUP($A17,'MG Universe'!$A$2:$R$9994,10)</f>
        <v>0.59</v>
      </c>
      <c r="K17" s="105">
        <f>VLOOKUP($A17,'MG Universe'!$A$2:$R$9994,11)</f>
        <v>19.670000000000002</v>
      </c>
      <c r="L17" s="23">
        <f>VLOOKUP($A17,'MG Universe'!$A$2:$R$9994,12)</f>
        <v>2.1700000000000001E-2</v>
      </c>
      <c r="M17" s="106">
        <f>VLOOKUP($A17,'MG Universe'!$A$2:$R$9994,13)</f>
        <v>1.1000000000000001</v>
      </c>
      <c r="N17" s="107">
        <f>VLOOKUP($A17,'MG Universe'!$A$2:$R$9994,14)</f>
        <v>0.62</v>
      </c>
      <c r="O17" s="22">
        <f>VLOOKUP($A17,'MG Universe'!$A$2:$R$9994,15)</f>
        <v>-41.96</v>
      </c>
      <c r="P17" s="23">
        <f>VLOOKUP($A17,'MG Universe'!$A$2:$R$9994,16)</f>
        <v>5.5800000000000002E-2</v>
      </c>
      <c r="Q17" s="109">
        <f>VLOOKUP($A17,'MG Universe'!$A$2:$R$9994,17)</f>
        <v>0</v>
      </c>
      <c r="R17" s="22">
        <f>VLOOKUP($A17,'MG Universe'!$A$2:$R$9994,18)</f>
        <v>0</v>
      </c>
    </row>
    <row r="18" spans="1:18" x14ac:dyDescent="0.55000000000000004">
      <c r="A18" s="18" t="s">
        <v>712</v>
      </c>
      <c r="B18" s="19" t="str">
        <f>VLOOKUP($A18,'MG Universe'!$A$2:$R$9994,2)</f>
        <v>Ameren Corp</v>
      </c>
      <c r="C18" s="19" t="str">
        <f>VLOOKUP($A18,'MG Universe'!$A$2:$R$9994,3)</f>
        <v>D</v>
      </c>
      <c r="D18" s="19" t="str">
        <f>VLOOKUP($A18,'MG Universe'!$A$2:$R$9994,4)</f>
        <v>S</v>
      </c>
      <c r="E18" s="19" t="str">
        <f>VLOOKUP($A18,'MG Universe'!$A$2:$R$9994,5)</f>
        <v>O</v>
      </c>
      <c r="F18" s="20" t="str">
        <f>VLOOKUP($A18,'MG Universe'!$A$2:$R$9994,6)</f>
        <v>SO</v>
      </c>
      <c r="G18" s="103">
        <f>VLOOKUP($A18,'MG Universe'!$A$2:$R$9994,7)</f>
        <v>42165</v>
      </c>
      <c r="H18" s="22">
        <f>VLOOKUP($A18,'MG Universe'!$A$2:$R$9994,8)</f>
        <v>0</v>
      </c>
      <c r="I18" s="22">
        <f>VLOOKUP($A18,'MG Universe'!$A$2:$R$9994,9)</f>
        <v>46.96</v>
      </c>
      <c r="J18" s="23" t="str">
        <f>VLOOKUP($A18,'MG Universe'!$A$2:$R$9994,10)</f>
        <v>N/A</v>
      </c>
      <c r="K18" s="105">
        <f>VLOOKUP($A18,'MG Universe'!$A$2:$R$9994,11)</f>
        <v>35.85</v>
      </c>
      <c r="L18" s="23">
        <f>VLOOKUP($A18,'MG Universe'!$A$2:$R$9994,12)</f>
        <v>3.6200000000000003E-2</v>
      </c>
      <c r="M18" s="106">
        <f>VLOOKUP($A18,'MG Universe'!$A$2:$R$9994,13)</f>
        <v>0.3</v>
      </c>
      <c r="N18" s="107">
        <f>VLOOKUP($A18,'MG Universe'!$A$2:$R$9994,14)</f>
        <v>0.79</v>
      </c>
      <c r="O18" s="22">
        <f>VLOOKUP($A18,'MG Universe'!$A$2:$R$9994,15)</f>
        <v>-58.48</v>
      </c>
      <c r="P18" s="23">
        <f>VLOOKUP($A18,'MG Universe'!$A$2:$R$9994,16)</f>
        <v>0.13669999999999999</v>
      </c>
      <c r="Q18" s="109">
        <f>VLOOKUP($A18,'MG Universe'!$A$2:$R$9994,17)</f>
        <v>0</v>
      </c>
      <c r="R18" s="22">
        <f>VLOOKUP($A18,'MG Universe'!$A$2:$R$9994,18)</f>
        <v>0</v>
      </c>
    </row>
    <row r="19" spans="1:18" x14ac:dyDescent="0.55000000000000004">
      <c r="A19" s="18" t="s">
        <v>836</v>
      </c>
      <c r="B19" s="19" t="str">
        <f>VLOOKUP($A19,'MG Universe'!$A$2:$R$9994,2)</f>
        <v>American Electric Power Company Inc</v>
      </c>
      <c r="C19" s="19" t="str">
        <f>VLOOKUP($A19,'MG Universe'!$A$2:$R$9994,3)</f>
        <v>D+</v>
      </c>
      <c r="D19" s="19" t="str">
        <f>VLOOKUP($A19,'MG Universe'!$A$2:$R$9994,4)</f>
        <v>S</v>
      </c>
      <c r="E19" s="19" t="str">
        <f>VLOOKUP($A19,'MG Universe'!$A$2:$R$9994,5)</f>
        <v>O</v>
      </c>
      <c r="F19" s="20" t="str">
        <f>VLOOKUP($A19,'MG Universe'!$A$2:$R$9994,6)</f>
        <v>SO</v>
      </c>
      <c r="G19" s="103">
        <f>VLOOKUP($A19,'MG Universe'!$A$2:$R$9994,7)</f>
        <v>42327</v>
      </c>
      <c r="H19" s="22">
        <f>VLOOKUP($A19,'MG Universe'!$A$2:$R$9994,8)</f>
        <v>31.76</v>
      </c>
      <c r="I19" s="22">
        <f>VLOOKUP($A19,'MG Universe'!$A$2:$R$9994,9)</f>
        <v>61.89</v>
      </c>
      <c r="J19" s="23">
        <f>VLOOKUP($A19,'MG Universe'!$A$2:$R$9994,10)</f>
        <v>1.9487000000000001</v>
      </c>
      <c r="K19" s="105">
        <f>VLOOKUP($A19,'MG Universe'!$A$2:$R$9994,11)</f>
        <v>18.47</v>
      </c>
      <c r="L19" s="23">
        <f>VLOOKUP($A19,'MG Universe'!$A$2:$R$9994,12)</f>
        <v>3.6200000000000003E-2</v>
      </c>
      <c r="M19" s="106">
        <f>VLOOKUP($A19,'MG Universe'!$A$2:$R$9994,13)</f>
        <v>0.2</v>
      </c>
      <c r="N19" s="107">
        <f>VLOOKUP($A19,'MG Universe'!$A$2:$R$9994,14)</f>
        <v>0.64</v>
      </c>
      <c r="O19" s="22">
        <f>VLOOKUP($A19,'MG Universe'!$A$2:$R$9994,15)</f>
        <v>-79.16</v>
      </c>
      <c r="P19" s="23">
        <f>VLOOKUP($A19,'MG Universe'!$A$2:$R$9994,16)</f>
        <v>4.99E-2</v>
      </c>
      <c r="Q19" s="109">
        <f>VLOOKUP($A19,'MG Universe'!$A$2:$R$9994,17)</f>
        <v>6</v>
      </c>
      <c r="R19" s="22">
        <f>VLOOKUP($A19,'MG Universe'!$A$2:$R$9994,18)</f>
        <v>54.86</v>
      </c>
    </row>
    <row r="20" spans="1:18" x14ac:dyDescent="0.55000000000000004">
      <c r="A20" s="18" t="s">
        <v>714</v>
      </c>
      <c r="B20" s="19" t="str">
        <f>VLOOKUP($A20,'MG Universe'!$A$2:$R$9994,2)</f>
        <v>AES Corp</v>
      </c>
      <c r="C20" s="19" t="str">
        <f>VLOOKUP($A20,'MG Universe'!$A$2:$R$9994,3)</f>
        <v>D</v>
      </c>
      <c r="D20" s="19" t="str">
        <f>VLOOKUP($A20,'MG Universe'!$A$2:$R$9994,4)</f>
        <v>S</v>
      </c>
      <c r="E20" s="19" t="str">
        <f>VLOOKUP($A20,'MG Universe'!$A$2:$R$9994,5)</f>
        <v>O</v>
      </c>
      <c r="F20" s="20" t="str">
        <f>VLOOKUP($A20,'MG Universe'!$A$2:$R$9994,6)</f>
        <v>SO</v>
      </c>
      <c r="G20" s="103">
        <f>VLOOKUP($A20,'MG Universe'!$A$2:$R$9994,7)</f>
        <v>42027</v>
      </c>
      <c r="H20" s="22">
        <f>VLOOKUP($A20,'MG Universe'!$A$2:$R$9994,8)</f>
        <v>0</v>
      </c>
      <c r="I20" s="22">
        <f>VLOOKUP($A20,'MG Universe'!$A$2:$R$9994,9)</f>
        <v>10.28</v>
      </c>
      <c r="J20" s="23" t="str">
        <f>VLOOKUP($A20,'MG Universe'!$A$2:$R$9994,10)</f>
        <v>N/A</v>
      </c>
      <c r="K20" s="105">
        <f>VLOOKUP($A20,'MG Universe'!$A$2:$R$9994,11)</f>
        <v>46.73</v>
      </c>
      <c r="L20" s="23">
        <f>VLOOKUP($A20,'MG Universe'!$A$2:$R$9994,12)</f>
        <v>4.2799999999999998E-2</v>
      </c>
      <c r="M20" s="106">
        <f>VLOOKUP($A20,'MG Universe'!$A$2:$R$9994,13)</f>
        <v>1.2</v>
      </c>
      <c r="N20" s="107">
        <f>VLOOKUP($A20,'MG Universe'!$A$2:$R$9994,14)</f>
        <v>1.1200000000000001</v>
      </c>
      <c r="O20" s="22">
        <f>VLOOKUP($A20,'MG Universe'!$A$2:$R$9994,15)</f>
        <v>-36.08</v>
      </c>
      <c r="P20" s="23">
        <f>VLOOKUP($A20,'MG Universe'!$A$2:$R$9994,16)</f>
        <v>0.19109999999999999</v>
      </c>
      <c r="Q20" s="109">
        <f>VLOOKUP($A20,'MG Universe'!$A$2:$R$9994,17)</f>
        <v>0</v>
      </c>
      <c r="R20" s="22">
        <f>VLOOKUP($A20,'MG Universe'!$A$2:$R$9994,18)</f>
        <v>0</v>
      </c>
    </row>
    <row r="21" spans="1:18" x14ac:dyDescent="0.55000000000000004">
      <c r="A21" s="18" t="s">
        <v>637</v>
      </c>
      <c r="B21" s="19" t="str">
        <f>VLOOKUP($A21,'MG Universe'!$A$2:$R$9994,2)</f>
        <v>Aetna Inc</v>
      </c>
      <c r="C21" s="19" t="str">
        <f>VLOOKUP($A21,'MG Universe'!$A$2:$R$9994,3)</f>
        <v>C+</v>
      </c>
      <c r="D21" s="19" t="str">
        <f>VLOOKUP($A21,'MG Universe'!$A$2:$R$9994,4)</f>
        <v>D</v>
      </c>
      <c r="E21" s="19" t="str">
        <f>VLOOKUP($A21,'MG Universe'!$A$2:$R$9994,5)</f>
        <v>F</v>
      </c>
      <c r="F21" s="20" t="str">
        <f>VLOOKUP($A21,'MG Universe'!$A$2:$R$9994,6)</f>
        <v>DF</v>
      </c>
      <c r="G21" s="103">
        <f>VLOOKUP($A21,'MG Universe'!$A$2:$R$9994,7)</f>
        <v>42401</v>
      </c>
      <c r="H21" s="22">
        <f>VLOOKUP($A21,'MG Universe'!$A$2:$R$9994,8)</f>
        <v>133.08000000000001</v>
      </c>
      <c r="I21" s="22">
        <f>VLOOKUP($A21,'MG Universe'!$A$2:$R$9994,9)</f>
        <v>110.15</v>
      </c>
      <c r="J21" s="23">
        <f>VLOOKUP($A21,'MG Universe'!$A$2:$R$9994,10)</f>
        <v>0.82769999999999999</v>
      </c>
      <c r="K21" s="105">
        <f>VLOOKUP($A21,'MG Universe'!$A$2:$R$9994,11)</f>
        <v>18.64</v>
      </c>
      <c r="L21" s="23">
        <f>VLOOKUP($A21,'MG Universe'!$A$2:$R$9994,12)</f>
        <v>9.1000000000000004E-3</v>
      </c>
      <c r="M21" s="106">
        <f>VLOOKUP($A21,'MG Universe'!$A$2:$R$9994,13)</f>
        <v>0.7</v>
      </c>
      <c r="N21" s="107">
        <f>VLOOKUP($A21,'MG Universe'!$A$2:$R$9994,14)</f>
        <v>0.81</v>
      </c>
      <c r="O21" s="22">
        <f>VLOOKUP($A21,'MG Universe'!$A$2:$R$9994,15)</f>
        <v>-71.67</v>
      </c>
      <c r="P21" s="23">
        <f>VLOOKUP($A21,'MG Universe'!$A$2:$R$9994,16)</f>
        <v>5.0700000000000002E-2</v>
      </c>
      <c r="Q21" s="109">
        <f>VLOOKUP($A21,'MG Universe'!$A$2:$R$9994,17)</f>
        <v>5</v>
      </c>
      <c r="R21" s="22">
        <f>VLOOKUP($A21,'MG Universe'!$A$2:$R$9994,18)</f>
        <v>84.84</v>
      </c>
    </row>
    <row r="22" spans="1:18" x14ac:dyDescent="0.55000000000000004">
      <c r="A22" s="18" t="s">
        <v>137</v>
      </c>
      <c r="B22" s="19" t="str">
        <f>VLOOKUP($A22,'MG Universe'!$A$2:$R$9994,2)</f>
        <v>AFLAC Incorporated</v>
      </c>
      <c r="C22" s="19" t="str">
        <f>VLOOKUP($A22,'MG Universe'!$A$2:$R$9994,3)</f>
        <v>A+</v>
      </c>
      <c r="D22" s="19" t="str">
        <f>VLOOKUP($A22,'MG Universe'!$A$2:$R$9994,4)</f>
        <v>D</v>
      </c>
      <c r="E22" s="19" t="str">
        <f>VLOOKUP($A22,'MG Universe'!$A$2:$R$9994,5)</f>
        <v>U</v>
      </c>
      <c r="F22" s="20" t="str">
        <f>VLOOKUP($A22,'MG Universe'!$A$2:$R$9994,6)</f>
        <v>DU</v>
      </c>
      <c r="G22" s="103">
        <f>VLOOKUP($A22,'MG Universe'!$A$2:$R$9994,7)</f>
        <v>42404</v>
      </c>
      <c r="H22" s="22">
        <f>VLOOKUP($A22,'MG Universe'!$A$2:$R$9994,8)</f>
        <v>113.09</v>
      </c>
      <c r="I22" s="22">
        <f>VLOOKUP($A22,'MG Universe'!$A$2:$R$9994,9)</f>
        <v>61.41</v>
      </c>
      <c r="J22" s="23">
        <f>VLOOKUP($A22,'MG Universe'!$A$2:$R$9994,10)</f>
        <v>0.54300000000000004</v>
      </c>
      <c r="K22" s="105">
        <f>VLOOKUP($A22,'MG Universe'!$A$2:$R$9994,11)</f>
        <v>9.84</v>
      </c>
      <c r="L22" s="23">
        <f>VLOOKUP($A22,'MG Universe'!$A$2:$R$9994,12)</f>
        <v>2.6700000000000002E-2</v>
      </c>
      <c r="M22" s="106">
        <f>VLOOKUP($A22,'MG Universe'!$A$2:$R$9994,13)</f>
        <v>1.5</v>
      </c>
      <c r="N22" s="107" t="str">
        <f>VLOOKUP($A22,'MG Universe'!$A$2:$R$9994,14)</f>
        <v>N/A</v>
      </c>
      <c r="O22" s="22" t="str">
        <f>VLOOKUP($A22,'MG Universe'!$A$2:$R$9994,15)</f>
        <v>N/A</v>
      </c>
      <c r="P22" s="23">
        <f>VLOOKUP($A22,'MG Universe'!$A$2:$R$9994,16)</f>
        <v>6.7000000000000002E-3</v>
      </c>
      <c r="Q22" s="109">
        <f>VLOOKUP($A22,'MG Universe'!$A$2:$R$9994,17)</f>
        <v>20</v>
      </c>
      <c r="R22" s="22">
        <f>VLOOKUP($A22,'MG Universe'!$A$2:$R$9994,18)</f>
        <v>75.3</v>
      </c>
    </row>
    <row r="23" spans="1:18" x14ac:dyDescent="0.55000000000000004">
      <c r="A23" s="18" t="s">
        <v>1031</v>
      </c>
      <c r="B23" s="19" t="str">
        <f>VLOOKUP($A23,'MG Universe'!$A$2:$R$9994,2)</f>
        <v>Allergan plc Ordinary Shares</v>
      </c>
      <c r="C23" s="19" t="str">
        <f>VLOOKUP($A23,'MG Universe'!$A$2:$R$9994,3)</f>
        <v>F</v>
      </c>
      <c r="D23" s="19" t="str">
        <f>VLOOKUP($A23,'MG Universe'!$A$2:$R$9994,4)</f>
        <v>S</v>
      </c>
      <c r="E23" s="19" t="str">
        <f>VLOOKUP($A23,'MG Universe'!$A$2:$R$9994,5)</f>
        <v>O</v>
      </c>
      <c r="F23" s="20" t="str">
        <f>VLOOKUP($A23,'MG Universe'!$A$2:$R$9994,6)</f>
        <v>SO</v>
      </c>
      <c r="G23" s="103">
        <f>VLOOKUP($A23,'MG Universe'!$A$2:$R$9994,7)</f>
        <v>42237</v>
      </c>
      <c r="H23" s="22">
        <f>VLOOKUP($A23,'MG Universe'!$A$2:$R$9994,8)</f>
        <v>0</v>
      </c>
      <c r="I23" s="22">
        <f>VLOOKUP($A23,'MG Universe'!$A$2:$R$9994,9)</f>
        <v>292.32</v>
      </c>
      <c r="J23" s="23" t="str">
        <f>VLOOKUP($A23,'MG Universe'!$A$2:$R$9994,10)</f>
        <v>N/A</v>
      </c>
      <c r="K23" s="105" t="str">
        <f>VLOOKUP($A23,'MG Universe'!$A$2:$R$9994,11)</f>
        <v>N/A</v>
      </c>
      <c r="L23" s="23">
        <f>VLOOKUP($A23,'MG Universe'!$A$2:$R$9994,12)</f>
        <v>6.9999999999999999E-4</v>
      </c>
      <c r="M23" s="106">
        <f>VLOOKUP($A23,'MG Universe'!$A$2:$R$9994,13)</f>
        <v>0.8</v>
      </c>
      <c r="N23" s="107">
        <f>VLOOKUP($A23,'MG Universe'!$A$2:$R$9994,14)</f>
        <v>1.37</v>
      </c>
      <c r="O23" s="22">
        <f>VLOOKUP($A23,'MG Universe'!$A$2:$R$9994,15)</f>
        <v>-142.27000000000001</v>
      </c>
      <c r="P23" s="23">
        <f>VLOOKUP($A23,'MG Universe'!$A$2:$R$9994,16)</f>
        <v>-1.7825</v>
      </c>
      <c r="Q23" s="109">
        <f>VLOOKUP($A23,'MG Universe'!$A$2:$R$9994,17)</f>
        <v>0</v>
      </c>
      <c r="R23" s="22">
        <f>VLOOKUP($A23,'MG Universe'!$A$2:$R$9994,18)</f>
        <v>0</v>
      </c>
    </row>
    <row r="24" spans="1:18" x14ac:dyDescent="0.55000000000000004">
      <c r="A24" s="18" t="s">
        <v>82</v>
      </c>
      <c r="B24" s="19" t="str">
        <f>VLOOKUP($A24,'MG Universe'!$A$2:$R$9994,2)</f>
        <v>American International Group Inc</v>
      </c>
      <c r="C24" s="19" t="str">
        <f>VLOOKUP($A24,'MG Universe'!$A$2:$R$9994,3)</f>
        <v>A-</v>
      </c>
      <c r="D24" s="19" t="str">
        <f>VLOOKUP($A24,'MG Universe'!$A$2:$R$9994,4)</f>
        <v>E</v>
      </c>
      <c r="E24" s="19" t="str">
        <f>VLOOKUP($A24,'MG Universe'!$A$2:$R$9994,5)</f>
        <v>U</v>
      </c>
      <c r="F24" s="20" t="str">
        <f>VLOOKUP($A24,'MG Universe'!$A$2:$R$9994,6)</f>
        <v>EU</v>
      </c>
      <c r="G24" s="103">
        <f>VLOOKUP($A24,'MG Universe'!$A$2:$R$9994,7)</f>
        <v>42416</v>
      </c>
      <c r="H24" s="22">
        <f>VLOOKUP($A24,'MG Universe'!$A$2:$R$9994,8)</f>
        <v>189.37</v>
      </c>
      <c r="I24" s="22">
        <f>VLOOKUP($A24,'MG Universe'!$A$2:$R$9994,9)</f>
        <v>51.81</v>
      </c>
      <c r="J24" s="23">
        <f>VLOOKUP($A24,'MG Universe'!$A$2:$R$9994,10)</f>
        <v>0.27360000000000001</v>
      </c>
      <c r="K24" s="105">
        <f>VLOOKUP($A24,'MG Universe'!$A$2:$R$9994,11)</f>
        <v>10.53</v>
      </c>
      <c r="L24" s="23">
        <f>VLOOKUP($A24,'MG Universe'!$A$2:$R$9994,12)</f>
        <v>2.47E-2</v>
      </c>
      <c r="M24" s="106">
        <f>VLOOKUP($A24,'MG Universe'!$A$2:$R$9994,13)</f>
        <v>1.4</v>
      </c>
      <c r="N24" s="107" t="str">
        <f>VLOOKUP($A24,'MG Universe'!$A$2:$R$9994,14)</f>
        <v>N/A</v>
      </c>
      <c r="O24" s="22" t="str">
        <f>VLOOKUP($A24,'MG Universe'!$A$2:$R$9994,15)</f>
        <v>N/A</v>
      </c>
      <c r="P24" s="23">
        <f>VLOOKUP($A24,'MG Universe'!$A$2:$R$9994,16)</f>
        <v>1.0200000000000001E-2</v>
      </c>
      <c r="Q24" s="109">
        <f>VLOOKUP($A24,'MG Universe'!$A$2:$R$9994,17)</f>
        <v>3</v>
      </c>
      <c r="R24" s="22">
        <f>VLOOKUP($A24,'MG Universe'!$A$2:$R$9994,18)</f>
        <v>83.47</v>
      </c>
    </row>
    <row r="25" spans="1:18" x14ac:dyDescent="0.55000000000000004">
      <c r="A25" s="18" t="s">
        <v>838</v>
      </c>
      <c r="B25" s="19" t="str">
        <f>VLOOKUP($A25,'MG Universe'!$A$2:$R$9994,2)</f>
        <v>Apartment Investment and Management Co</v>
      </c>
      <c r="C25" s="19" t="str">
        <f>VLOOKUP($A25,'MG Universe'!$A$2:$R$9994,3)</f>
        <v>D+</v>
      </c>
      <c r="D25" s="19" t="str">
        <f>VLOOKUP($A25,'MG Universe'!$A$2:$R$9994,4)</f>
        <v>S</v>
      </c>
      <c r="E25" s="19" t="str">
        <f>VLOOKUP($A25,'MG Universe'!$A$2:$R$9994,5)</f>
        <v>F</v>
      </c>
      <c r="F25" s="20" t="str">
        <f>VLOOKUP($A25,'MG Universe'!$A$2:$R$9994,6)</f>
        <v>SF</v>
      </c>
      <c r="G25" s="103">
        <f>VLOOKUP($A25,'MG Universe'!$A$2:$R$9994,7)</f>
        <v>42027</v>
      </c>
      <c r="H25" s="22">
        <f>VLOOKUP($A25,'MG Universe'!$A$2:$R$9994,8)</f>
        <v>38.450000000000003</v>
      </c>
      <c r="I25" s="22">
        <f>VLOOKUP($A25,'MG Universe'!$A$2:$R$9994,9)</f>
        <v>38.32</v>
      </c>
      <c r="J25" s="23">
        <f>VLOOKUP($A25,'MG Universe'!$A$2:$R$9994,10)</f>
        <v>0.99660000000000004</v>
      </c>
      <c r="K25" s="105">
        <f>VLOOKUP($A25,'MG Universe'!$A$2:$R$9994,11)</f>
        <v>38.32</v>
      </c>
      <c r="L25" s="23">
        <f>VLOOKUP($A25,'MG Universe'!$A$2:$R$9994,12)</f>
        <v>3.44E-2</v>
      </c>
      <c r="M25" s="106">
        <f>VLOOKUP($A25,'MG Universe'!$A$2:$R$9994,13)</f>
        <v>0.6</v>
      </c>
      <c r="N25" s="107">
        <f>VLOOKUP($A25,'MG Universe'!$A$2:$R$9994,14)</f>
        <v>0.47</v>
      </c>
      <c r="O25" s="22">
        <f>VLOOKUP($A25,'MG Universe'!$A$2:$R$9994,15)</f>
        <v>-30.9</v>
      </c>
      <c r="P25" s="23">
        <f>VLOOKUP($A25,'MG Universe'!$A$2:$R$9994,16)</f>
        <v>0.14910000000000001</v>
      </c>
      <c r="Q25" s="109">
        <f>VLOOKUP($A25,'MG Universe'!$A$2:$R$9994,17)</f>
        <v>0</v>
      </c>
      <c r="R25" s="22">
        <f>VLOOKUP($A25,'MG Universe'!$A$2:$R$9994,18)</f>
        <v>0</v>
      </c>
    </row>
    <row r="26" spans="1:18" x14ac:dyDescent="0.55000000000000004">
      <c r="A26" s="18" t="s">
        <v>140</v>
      </c>
      <c r="B26" s="19" t="str">
        <f>VLOOKUP($A26,'MG Universe'!$A$2:$R$9994,2)</f>
        <v>Assurant, Inc.</v>
      </c>
      <c r="C26" s="19" t="str">
        <f>VLOOKUP($A26,'MG Universe'!$A$2:$R$9994,3)</f>
        <v>B</v>
      </c>
      <c r="D26" s="19" t="str">
        <f>VLOOKUP($A26,'MG Universe'!$A$2:$R$9994,4)</f>
        <v>E</v>
      </c>
      <c r="E26" s="19" t="str">
        <f>VLOOKUP($A26,'MG Universe'!$A$2:$R$9994,5)</f>
        <v>O</v>
      </c>
      <c r="F26" s="20" t="str">
        <f>VLOOKUP($A26,'MG Universe'!$A$2:$R$9994,6)</f>
        <v>EO</v>
      </c>
      <c r="G26" s="103">
        <f>VLOOKUP($A26,'MG Universe'!$A$2:$R$9994,7)</f>
        <v>42417</v>
      </c>
      <c r="H26" s="22">
        <f>VLOOKUP($A26,'MG Universe'!$A$2:$R$9994,8)</f>
        <v>52.27</v>
      </c>
      <c r="I26" s="22">
        <f>VLOOKUP($A26,'MG Universe'!$A$2:$R$9994,9)</f>
        <v>73.27</v>
      </c>
      <c r="J26" s="23">
        <f>VLOOKUP($A26,'MG Universe'!$A$2:$R$9994,10)</f>
        <v>1.4017999999999999</v>
      </c>
      <c r="K26" s="105">
        <f>VLOOKUP($A26,'MG Universe'!$A$2:$R$9994,11)</f>
        <v>14.89</v>
      </c>
      <c r="L26" s="23">
        <f>VLOOKUP($A26,'MG Universe'!$A$2:$R$9994,12)</f>
        <v>2.7300000000000001E-2</v>
      </c>
      <c r="M26" s="106">
        <f>VLOOKUP($A26,'MG Universe'!$A$2:$R$9994,13)</f>
        <v>0.7</v>
      </c>
      <c r="N26" s="107" t="str">
        <f>VLOOKUP($A26,'MG Universe'!$A$2:$R$9994,14)</f>
        <v>N/A</v>
      </c>
      <c r="O26" s="22" t="str">
        <f>VLOOKUP($A26,'MG Universe'!$A$2:$R$9994,15)</f>
        <v>N/A</v>
      </c>
      <c r="P26" s="23">
        <f>VLOOKUP($A26,'MG Universe'!$A$2:$R$9994,16)</f>
        <v>3.2000000000000001E-2</v>
      </c>
      <c r="Q26" s="109">
        <f>VLOOKUP($A26,'MG Universe'!$A$2:$R$9994,17)</f>
        <v>13</v>
      </c>
      <c r="R26" s="22">
        <f>VLOOKUP($A26,'MG Universe'!$A$2:$R$9994,18)</f>
        <v>93.05</v>
      </c>
    </row>
    <row r="27" spans="1:18" x14ac:dyDescent="0.55000000000000004">
      <c r="A27" s="18" t="s">
        <v>641</v>
      </c>
      <c r="B27" s="19" t="str">
        <f>VLOOKUP($A27,'MG Universe'!$A$2:$R$9994,2)</f>
        <v>Akamai Technologies, Inc.</v>
      </c>
      <c r="C27" s="19" t="str">
        <f>VLOOKUP($A27,'MG Universe'!$A$2:$R$9994,3)</f>
        <v>C+</v>
      </c>
      <c r="D27" s="19" t="str">
        <f>VLOOKUP($A27,'MG Universe'!$A$2:$R$9994,4)</f>
        <v>E</v>
      </c>
      <c r="E27" s="19" t="str">
        <f>VLOOKUP($A27,'MG Universe'!$A$2:$R$9994,5)</f>
        <v>F</v>
      </c>
      <c r="F27" s="20" t="str">
        <f>VLOOKUP($A27,'MG Universe'!$A$2:$R$9994,6)</f>
        <v>EF</v>
      </c>
      <c r="G27" s="103">
        <f>VLOOKUP($A27,'MG Universe'!$A$2:$R$9994,7)</f>
        <v>42396</v>
      </c>
      <c r="H27" s="22">
        <f>VLOOKUP($A27,'MG Universe'!$A$2:$R$9994,8)</f>
        <v>56.34</v>
      </c>
      <c r="I27" s="22">
        <f>VLOOKUP($A27,'MG Universe'!$A$2:$R$9994,9)</f>
        <v>56.21</v>
      </c>
      <c r="J27" s="23">
        <f>VLOOKUP($A27,'MG Universe'!$A$2:$R$9994,10)</f>
        <v>0.99770000000000003</v>
      </c>
      <c r="K27" s="105">
        <f>VLOOKUP($A27,'MG Universe'!$A$2:$R$9994,11)</f>
        <v>33.86</v>
      </c>
      <c r="L27" s="23" t="str">
        <f>VLOOKUP($A27,'MG Universe'!$A$2:$R$9994,12)</f>
        <v>N/A</v>
      </c>
      <c r="M27" s="106">
        <f>VLOOKUP($A27,'MG Universe'!$A$2:$R$9994,13)</f>
        <v>1.7</v>
      </c>
      <c r="N27" s="107">
        <f>VLOOKUP($A27,'MG Universe'!$A$2:$R$9994,14)</f>
        <v>3.65</v>
      </c>
      <c r="O27" s="22">
        <f>VLOOKUP($A27,'MG Universe'!$A$2:$R$9994,15)</f>
        <v>0.62</v>
      </c>
      <c r="P27" s="23">
        <f>VLOOKUP($A27,'MG Universe'!$A$2:$R$9994,16)</f>
        <v>0.1268</v>
      </c>
      <c r="Q27" s="109">
        <f>VLOOKUP($A27,'MG Universe'!$A$2:$R$9994,17)</f>
        <v>0</v>
      </c>
      <c r="R27" s="22">
        <f>VLOOKUP($A27,'MG Universe'!$A$2:$R$9994,18)</f>
        <v>26.99</v>
      </c>
    </row>
    <row r="28" spans="1:18" x14ac:dyDescent="0.55000000000000004">
      <c r="A28" s="18" t="s">
        <v>84</v>
      </c>
      <c r="B28" s="19" t="str">
        <f>VLOOKUP($A28,'MG Universe'!$A$2:$R$9994,2)</f>
        <v>Allstate Corp</v>
      </c>
      <c r="C28" s="19" t="str">
        <f>VLOOKUP($A28,'MG Universe'!$A$2:$R$9994,3)</f>
        <v>A-</v>
      </c>
      <c r="D28" s="19" t="str">
        <f>VLOOKUP($A28,'MG Universe'!$A$2:$R$9994,4)</f>
        <v>E</v>
      </c>
      <c r="E28" s="19" t="str">
        <f>VLOOKUP($A28,'MG Universe'!$A$2:$R$9994,5)</f>
        <v>U</v>
      </c>
      <c r="F28" s="20" t="str">
        <f>VLOOKUP($A28,'MG Universe'!$A$2:$R$9994,6)</f>
        <v>EU</v>
      </c>
      <c r="G28" s="103">
        <f>VLOOKUP($A28,'MG Universe'!$A$2:$R$9994,7)</f>
        <v>42306</v>
      </c>
      <c r="H28" s="22">
        <f>VLOOKUP($A28,'MG Universe'!$A$2:$R$9994,8)</f>
        <v>188.19</v>
      </c>
      <c r="I28" s="22">
        <f>VLOOKUP($A28,'MG Universe'!$A$2:$R$9994,9)</f>
        <v>65.41</v>
      </c>
      <c r="J28" s="23">
        <f>VLOOKUP($A28,'MG Universe'!$A$2:$R$9994,10)</f>
        <v>0.34760000000000002</v>
      </c>
      <c r="K28" s="105">
        <f>VLOOKUP($A28,'MG Universe'!$A$2:$R$9994,11)</f>
        <v>13.38</v>
      </c>
      <c r="L28" s="23">
        <f>VLOOKUP($A28,'MG Universe'!$A$2:$R$9994,12)</f>
        <v>2.0199999999999999E-2</v>
      </c>
      <c r="M28" s="106">
        <f>VLOOKUP($A28,'MG Universe'!$A$2:$R$9994,13)</f>
        <v>1.1000000000000001</v>
      </c>
      <c r="N28" s="107" t="str">
        <f>VLOOKUP($A28,'MG Universe'!$A$2:$R$9994,14)</f>
        <v>N/A</v>
      </c>
      <c r="O28" s="22" t="str">
        <f>VLOOKUP($A28,'MG Universe'!$A$2:$R$9994,15)</f>
        <v>N/A</v>
      </c>
      <c r="P28" s="23">
        <f>VLOOKUP($A28,'MG Universe'!$A$2:$R$9994,16)</f>
        <v>2.4400000000000002E-2</v>
      </c>
      <c r="Q28" s="109">
        <f>VLOOKUP($A28,'MG Universe'!$A$2:$R$9994,17)</f>
        <v>5</v>
      </c>
      <c r="R28" s="22">
        <f>VLOOKUP($A28,'MG Universe'!$A$2:$R$9994,18)</f>
        <v>70.88</v>
      </c>
    </row>
    <row r="29" spans="1:18" x14ac:dyDescent="0.55000000000000004">
      <c r="A29" s="18" t="s">
        <v>355</v>
      </c>
      <c r="B29" s="19" t="str">
        <f>VLOOKUP($A29,'MG Universe'!$A$2:$R$9994,2)</f>
        <v>Allegion PLC</v>
      </c>
      <c r="C29" s="19" t="str">
        <f>VLOOKUP($A29,'MG Universe'!$A$2:$R$9994,3)</f>
        <v>C</v>
      </c>
      <c r="D29" s="19" t="str">
        <f>VLOOKUP($A29,'MG Universe'!$A$2:$R$9994,4)</f>
        <v>E</v>
      </c>
      <c r="E29" s="19" t="str">
        <f>VLOOKUP($A29,'MG Universe'!$A$2:$R$9994,5)</f>
        <v>F</v>
      </c>
      <c r="F29" s="20" t="str">
        <f>VLOOKUP($A29,'MG Universe'!$A$2:$R$9994,6)</f>
        <v>EF</v>
      </c>
      <c r="G29" s="103">
        <f>VLOOKUP($A29,'MG Universe'!$A$2:$R$9994,7)</f>
        <v>42402</v>
      </c>
      <c r="H29" s="22">
        <f>VLOOKUP($A29,'MG Universe'!$A$2:$R$9994,8)</f>
        <v>58.83</v>
      </c>
      <c r="I29" s="22">
        <f>VLOOKUP($A29,'MG Universe'!$A$2:$R$9994,9)</f>
        <v>64.64</v>
      </c>
      <c r="J29" s="23">
        <f>VLOOKUP($A29,'MG Universe'!$A$2:$R$9994,10)</f>
        <v>1.0988</v>
      </c>
      <c r="K29" s="105">
        <f>VLOOKUP($A29,'MG Universe'!$A$2:$R$9994,11)</f>
        <v>42.25</v>
      </c>
      <c r="L29" s="23">
        <f>VLOOKUP($A29,'MG Universe'!$A$2:$R$9994,12)</f>
        <v>7.4000000000000003E-3</v>
      </c>
      <c r="M29" s="106" t="e">
        <f>VLOOKUP($A29,'MG Universe'!$A$2:$R$9994,13)</f>
        <v>#N/A</v>
      </c>
      <c r="N29" s="107">
        <f>VLOOKUP($A29,'MG Universe'!$A$2:$R$9994,14)</f>
        <v>1.69</v>
      </c>
      <c r="O29" s="22">
        <f>VLOOKUP($A29,'MG Universe'!$A$2:$R$9994,15)</f>
        <v>-15.84</v>
      </c>
      <c r="P29" s="23">
        <f>VLOOKUP($A29,'MG Universe'!$A$2:$R$9994,16)</f>
        <v>0.16869999999999999</v>
      </c>
      <c r="Q29" s="109">
        <f>VLOOKUP($A29,'MG Universe'!$A$2:$R$9994,17)</f>
        <v>2</v>
      </c>
      <c r="R29" s="22">
        <f>VLOOKUP($A29,'MG Universe'!$A$2:$R$9994,18)</f>
        <v>2.2999999999999998</v>
      </c>
    </row>
    <row r="30" spans="1:18" x14ac:dyDescent="0.55000000000000004">
      <c r="A30" s="18" t="s">
        <v>1153</v>
      </c>
      <c r="B30" s="19" t="str">
        <f>VLOOKUP($A30,'MG Universe'!$A$2:$R$9994,2)</f>
        <v>Allegion PLC</v>
      </c>
      <c r="C30" s="19" t="str">
        <f>VLOOKUP($A30,'MG Universe'!$A$2:$R$9994,3)</f>
        <v>C</v>
      </c>
      <c r="D30" s="19" t="str">
        <f>VLOOKUP($A30,'MG Universe'!$A$2:$R$9994,4)</f>
        <v>E</v>
      </c>
      <c r="E30" s="19" t="str">
        <f>VLOOKUP($A30,'MG Universe'!$A$2:$R$9994,5)</f>
        <v>F</v>
      </c>
      <c r="F30" s="20" t="str">
        <f>VLOOKUP($A30,'MG Universe'!$A$2:$R$9994,6)</f>
        <v>EF</v>
      </c>
      <c r="G30" s="103">
        <f>VLOOKUP($A30,'MG Universe'!$A$2:$R$9994,7)</f>
        <v>42402</v>
      </c>
      <c r="H30" s="22">
        <f>VLOOKUP($A30,'MG Universe'!$A$2:$R$9994,8)</f>
        <v>58.83</v>
      </c>
      <c r="I30" s="22">
        <f>VLOOKUP($A30,'MG Universe'!$A$2:$R$9994,9)</f>
        <v>64.64</v>
      </c>
      <c r="J30" s="23">
        <f>VLOOKUP($A30,'MG Universe'!$A$2:$R$9994,10)</f>
        <v>1.0988</v>
      </c>
      <c r="K30" s="105">
        <f>VLOOKUP($A30,'MG Universe'!$A$2:$R$9994,11)</f>
        <v>42.25</v>
      </c>
      <c r="L30" s="23">
        <f>VLOOKUP($A30,'MG Universe'!$A$2:$R$9994,12)</f>
        <v>7.4000000000000003E-3</v>
      </c>
      <c r="M30" s="106" t="e">
        <f>VLOOKUP($A30,'MG Universe'!$A$2:$R$9994,13)</f>
        <v>#N/A</v>
      </c>
      <c r="N30" s="107">
        <f>VLOOKUP($A30,'MG Universe'!$A$2:$R$9994,14)</f>
        <v>1.69</v>
      </c>
      <c r="O30" s="22">
        <f>VLOOKUP($A30,'MG Universe'!$A$2:$R$9994,15)</f>
        <v>-15.84</v>
      </c>
      <c r="P30" s="23">
        <f>VLOOKUP($A30,'MG Universe'!$A$2:$R$9994,16)</f>
        <v>0.16869999999999999</v>
      </c>
      <c r="Q30" s="109">
        <f>VLOOKUP($A30,'MG Universe'!$A$2:$R$9994,17)</f>
        <v>2</v>
      </c>
      <c r="R30" s="22">
        <f>VLOOKUP($A30,'MG Universe'!$A$2:$R$9994,18)</f>
        <v>2.2999999999999998</v>
      </c>
    </row>
    <row r="31" spans="1:18" x14ac:dyDescent="0.55000000000000004">
      <c r="A31" s="18" t="s">
        <v>1035</v>
      </c>
      <c r="B31" s="19" t="str">
        <f>VLOOKUP($A31,'MG Universe'!$A$2:$R$9994,2)</f>
        <v>Alexion Pharmaceuticals, Inc.</v>
      </c>
      <c r="C31" s="19" t="str">
        <f>VLOOKUP($A31,'MG Universe'!$A$2:$R$9994,3)</f>
        <v>F</v>
      </c>
      <c r="D31" s="19" t="str">
        <f>VLOOKUP($A31,'MG Universe'!$A$2:$R$9994,4)</f>
        <v>S</v>
      </c>
      <c r="E31" s="19" t="str">
        <f>VLOOKUP($A31,'MG Universe'!$A$2:$R$9994,5)</f>
        <v>O</v>
      </c>
      <c r="F31" s="20" t="str">
        <f>VLOOKUP($A31,'MG Universe'!$A$2:$R$9994,6)</f>
        <v>SO</v>
      </c>
      <c r="G31" s="103">
        <f>VLOOKUP($A31,'MG Universe'!$A$2:$R$9994,7)</f>
        <v>42228</v>
      </c>
      <c r="H31" s="22">
        <f>VLOOKUP($A31,'MG Universe'!$A$2:$R$9994,8)</f>
        <v>92.71</v>
      </c>
      <c r="I31" s="22">
        <f>VLOOKUP($A31,'MG Universe'!$A$2:$R$9994,9)</f>
        <v>151.59</v>
      </c>
      <c r="J31" s="23">
        <f>VLOOKUP($A31,'MG Universe'!$A$2:$R$9994,10)</f>
        <v>1.6351</v>
      </c>
      <c r="K31" s="105">
        <f>VLOOKUP($A31,'MG Universe'!$A$2:$R$9994,11)</f>
        <v>62.9</v>
      </c>
      <c r="L31" s="23" t="str">
        <f>VLOOKUP($A31,'MG Universe'!$A$2:$R$9994,12)</f>
        <v>N/A</v>
      </c>
      <c r="M31" s="106">
        <f>VLOOKUP($A31,'MG Universe'!$A$2:$R$9994,13)</f>
        <v>0.9</v>
      </c>
      <c r="N31" s="107">
        <f>VLOOKUP($A31,'MG Universe'!$A$2:$R$9994,14)</f>
        <v>3.29</v>
      </c>
      <c r="O31" s="22">
        <f>VLOOKUP($A31,'MG Universe'!$A$2:$R$9994,15)</f>
        <v>-10.18</v>
      </c>
      <c r="P31" s="23">
        <f>VLOOKUP($A31,'MG Universe'!$A$2:$R$9994,16)</f>
        <v>0.27200000000000002</v>
      </c>
      <c r="Q31" s="109">
        <f>VLOOKUP($A31,'MG Universe'!$A$2:$R$9994,17)</f>
        <v>0</v>
      </c>
      <c r="R31" s="22">
        <f>VLOOKUP($A31,'MG Universe'!$A$2:$R$9994,18)</f>
        <v>0</v>
      </c>
    </row>
    <row r="32" spans="1:18" x14ac:dyDescent="0.55000000000000004">
      <c r="A32" s="18" t="s">
        <v>22</v>
      </c>
      <c r="B32" s="19" t="str">
        <f>VLOOKUP($A32,'MG Universe'!$A$2:$R$9994,2)</f>
        <v>Applied Materials, Inc.</v>
      </c>
      <c r="C32" s="19" t="str">
        <f>VLOOKUP($A32,'MG Universe'!$A$2:$R$9994,3)</f>
        <v>B-</v>
      </c>
      <c r="D32" s="19" t="str">
        <f>VLOOKUP($A32,'MG Universe'!$A$2:$R$9994,4)</f>
        <v>E</v>
      </c>
      <c r="E32" s="19" t="str">
        <f>VLOOKUP($A32,'MG Universe'!$A$2:$R$9994,5)</f>
        <v>F</v>
      </c>
      <c r="F32" s="20" t="str">
        <f>VLOOKUP($A32,'MG Universe'!$A$2:$R$9994,6)</f>
        <v>EF</v>
      </c>
      <c r="G32" s="103">
        <f>VLOOKUP($A32,'MG Universe'!$A$2:$R$9994,7)</f>
        <v>42426</v>
      </c>
      <c r="H32" s="22">
        <f>VLOOKUP($A32,'MG Universe'!$A$2:$R$9994,8)</f>
        <v>21.88</v>
      </c>
      <c r="I32" s="22">
        <f>VLOOKUP($A32,'MG Universe'!$A$2:$R$9994,9)</f>
        <v>19.489999999999998</v>
      </c>
      <c r="J32" s="23">
        <f>VLOOKUP($A32,'MG Universe'!$A$2:$R$9994,10)</f>
        <v>0.89080000000000004</v>
      </c>
      <c r="K32" s="105">
        <f>VLOOKUP($A32,'MG Universe'!$A$2:$R$9994,11)</f>
        <v>22.15</v>
      </c>
      <c r="L32" s="23">
        <f>VLOOKUP($A32,'MG Universe'!$A$2:$R$9994,12)</f>
        <v>2.0500000000000001E-2</v>
      </c>
      <c r="M32" s="106">
        <f>VLOOKUP($A32,'MG Universe'!$A$2:$R$9994,13)</f>
        <v>1.8</v>
      </c>
      <c r="N32" s="107">
        <f>VLOOKUP($A32,'MG Universe'!$A$2:$R$9994,14)</f>
        <v>3</v>
      </c>
      <c r="O32" s="22">
        <f>VLOOKUP($A32,'MG Universe'!$A$2:$R$9994,15)</f>
        <v>0.65</v>
      </c>
      <c r="P32" s="23">
        <f>VLOOKUP($A32,'MG Universe'!$A$2:$R$9994,16)</f>
        <v>6.8199999999999997E-2</v>
      </c>
      <c r="Q32" s="109">
        <f>VLOOKUP($A32,'MG Universe'!$A$2:$R$9994,17)</f>
        <v>0</v>
      </c>
      <c r="R32" s="22">
        <f>VLOOKUP($A32,'MG Universe'!$A$2:$R$9994,18)</f>
        <v>12.57</v>
      </c>
    </row>
    <row r="33" spans="1:18" x14ac:dyDescent="0.55000000000000004">
      <c r="A33" s="18" t="s">
        <v>643</v>
      </c>
      <c r="B33" s="19" t="str">
        <f>VLOOKUP($A33,'MG Universe'!$A$2:$R$9994,2)</f>
        <v>AMETEK, Inc.</v>
      </c>
      <c r="C33" s="19" t="str">
        <f>VLOOKUP($A33,'MG Universe'!$A$2:$R$9994,3)</f>
        <v>C+</v>
      </c>
      <c r="D33" s="19" t="str">
        <f>VLOOKUP($A33,'MG Universe'!$A$2:$R$9994,4)</f>
        <v>E</v>
      </c>
      <c r="E33" s="19" t="str">
        <f>VLOOKUP($A33,'MG Universe'!$A$2:$R$9994,5)</f>
        <v>U</v>
      </c>
      <c r="F33" s="20" t="str">
        <f>VLOOKUP($A33,'MG Universe'!$A$2:$R$9994,6)</f>
        <v>EU</v>
      </c>
      <c r="G33" s="103">
        <f>VLOOKUP($A33,'MG Universe'!$A$2:$R$9994,7)</f>
        <v>42403</v>
      </c>
      <c r="H33" s="22">
        <f>VLOOKUP($A33,'MG Universe'!$A$2:$R$9994,8)</f>
        <v>76.680000000000007</v>
      </c>
      <c r="I33" s="22">
        <f>VLOOKUP($A33,'MG Universe'!$A$2:$R$9994,9)</f>
        <v>47.86</v>
      </c>
      <c r="J33" s="23">
        <f>VLOOKUP($A33,'MG Universe'!$A$2:$R$9994,10)</f>
        <v>0.62419999999999998</v>
      </c>
      <c r="K33" s="105">
        <f>VLOOKUP($A33,'MG Universe'!$A$2:$R$9994,11)</f>
        <v>21.37</v>
      </c>
      <c r="L33" s="23">
        <f>VLOOKUP($A33,'MG Universe'!$A$2:$R$9994,12)</f>
        <v>7.4999999999999997E-3</v>
      </c>
      <c r="M33" s="106">
        <f>VLOOKUP($A33,'MG Universe'!$A$2:$R$9994,13)</f>
        <v>1.3</v>
      </c>
      <c r="N33" s="107">
        <f>VLOOKUP($A33,'MG Universe'!$A$2:$R$9994,14)</f>
        <v>1.72</v>
      </c>
      <c r="O33" s="22">
        <f>VLOOKUP($A33,'MG Universe'!$A$2:$R$9994,15)</f>
        <v>-7.2</v>
      </c>
      <c r="P33" s="23">
        <f>VLOOKUP($A33,'MG Universe'!$A$2:$R$9994,16)</f>
        <v>6.4299999999999996E-2</v>
      </c>
      <c r="Q33" s="109">
        <f>VLOOKUP($A33,'MG Universe'!$A$2:$R$9994,17)</f>
        <v>6</v>
      </c>
      <c r="R33" s="22">
        <f>VLOOKUP($A33,'MG Universe'!$A$2:$R$9994,18)</f>
        <v>28.06</v>
      </c>
    </row>
    <row r="34" spans="1:18" x14ac:dyDescent="0.55000000000000004">
      <c r="A34" s="18" t="s">
        <v>484</v>
      </c>
      <c r="B34" s="19" t="str">
        <f>VLOOKUP($A34,'MG Universe'!$A$2:$R$9994,2)</f>
        <v>Affiliated Managers Group, Inc.</v>
      </c>
      <c r="C34" s="19" t="str">
        <f>VLOOKUP($A34,'MG Universe'!$A$2:$R$9994,3)</f>
        <v>C-</v>
      </c>
      <c r="D34" s="19" t="str">
        <f>VLOOKUP($A34,'MG Universe'!$A$2:$R$9994,4)</f>
        <v>S</v>
      </c>
      <c r="E34" s="19" t="str">
        <f>VLOOKUP($A34,'MG Universe'!$A$2:$R$9994,5)</f>
        <v>U</v>
      </c>
      <c r="F34" s="20" t="str">
        <f>VLOOKUP($A34,'MG Universe'!$A$2:$R$9994,6)</f>
        <v>SU</v>
      </c>
      <c r="G34" s="103">
        <f>VLOOKUP($A34,'MG Universe'!$A$2:$R$9994,7)</f>
        <v>42244</v>
      </c>
      <c r="H34" s="22">
        <f>VLOOKUP($A34,'MG Universe'!$A$2:$R$9994,8)</f>
        <v>310.45999999999998</v>
      </c>
      <c r="I34" s="22">
        <f>VLOOKUP($A34,'MG Universe'!$A$2:$R$9994,9)</f>
        <v>145.19</v>
      </c>
      <c r="J34" s="23">
        <f>VLOOKUP($A34,'MG Universe'!$A$2:$R$9994,10)</f>
        <v>0.4677</v>
      </c>
      <c r="K34" s="105">
        <f>VLOOKUP($A34,'MG Universe'!$A$2:$R$9994,11)</f>
        <v>18.010000000000002</v>
      </c>
      <c r="L34" s="23" t="str">
        <f>VLOOKUP($A34,'MG Universe'!$A$2:$R$9994,12)</f>
        <v>N/A</v>
      </c>
      <c r="M34" s="106">
        <f>VLOOKUP($A34,'MG Universe'!$A$2:$R$9994,13)</f>
        <v>1.5</v>
      </c>
      <c r="N34" s="107">
        <f>VLOOKUP($A34,'MG Universe'!$A$2:$R$9994,14)</f>
        <v>2.21</v>
      </c>
      <c r="O34" s="22">
        <f>VLOOKUP($A34,'MG Universe'!$A$2:$R$9994,15)</f>
        <v>-63.13</v>
      </c>
      <c r="P34" s="23">
        <f>VLOOKUP($A34,'MG Universe'!$A$2:$R$9994,16)</f>
        <v>4.7600000000000003E-2</v>
      </c>
      <c r="Q34" s="109">
        <f>VLOOKUP($A34,'MG Universe'!$A$2:$R$9994,17)</f>
        <v>0</v>
      </c>
      <c r="R34" s="22">
        <f>VLOOKUP($A34,'MG Universe'!$A$2:$R$9994,18)</f>
        <v>0</v>
      </c>
    </row>
    <row r="35" spans="1:18" x14ac:dyDescent="0.55000000000000004">
      <c r="A35" s="18" t="s">
        <v>146</v>
      </c>
      <c r="B35" s="19" t="str">
        <f>VLOOKUP($A35,'MG Universe'!$A$2:$R$9994,2)</f>
        <v>Amgen, Inc.</v>
      </c>
      <c r="C35" s="19" t="str">
        <f>VLOOKUP($A35,'MG Universe'!$A$2:$R$9994,3)</f>
        <v>B</v>
      </c>
      <c r="D35" s="19" t="str">
        <f>VLOOKUP($A35,'MG Universe'!$A$2:$R$9994,4)</f>
        <v>E</v>
      </c>
      <c r="E35" s="19" t="str">
        <f>VLOOKUP($A35,'MG Universe'!$A$2:$R$9994,5)</f>
        <v>U</v>
      </c>
      <c r="F35" s="20" t="str">
        <f>VLOOKUP($A35,'MG Universe'!$A$2:$R$9994,6)</f>
        <v>EU</v>
      </c>
      <c r="G35" s="103">
        <f>VLOOKUP($A35,'MG Universe'!$A$2:$R$9994,7)</f>
        <v>42417</v>
      </c>
      <c r="H35" s="22">
        <f>VLOOKUP($A35,'MG Universe'!$A$2:$R$9994,8)</f>
        <v>279.39</v>
      </c>
      <c r="I35" s="22">
        <f>VLOOKUP($A35,'MG Universe'!$A$2:$R$9994,9)</f>
        <v>147.49</v>
      </c>
      <c r="J35" s="23">
        <f>VLOOKUP($A35,'MG Universe'!$A$2:$R$9994,10)</f>
        <v>0.52790000000000004</v>
      </c>
      <c r="K35" s="105">
        <f>VLOOKUP($A35,'MG Universe'!$A$2:$R$9994,11)</f>
        <v>17.27</v>
      </c>
      <c r="L35" s="23">
        <f>VLOOKUP($A35,'MG Universe'!$A$2:$R$9994,12)</f>
        <v>2.7099999999999999E-2</v>
      </c>
      <c r="M35" s="106">
        <f>VLOOKUP($A35,'MG Universe'!$A$2:$R$9994,13)</f>
        <v>0.8</v>
      </c>
      <c r="N35" s="107">
        <f>VLOOKUP($A35,'MG Universe'!$A$2:$R$9994,14)</f>
        <v>4.4400000000000004</v>
      </c>
      <c r="O35" s="22">
        <f>VLOOKUP($A35,'MG Universe'!$A$2:$R$9994,15)</f>
        <v>-6.49</v>
      </c>
      <c r="P35" s="23">
        <f>VLOOKUP($A35,'MG Universe'!$A$2:$R$9994,16)</f>
        <v>4.3900000000000002E-2</v>
      </c>
      <c r="Q35" s="109">
        <f>VLOOKUP($A35,'MG Universe'!$A$2:$R$9994,17)</f>
        <v>6</v>
      </c>
      <c r="R35" s="22">
        <f>VLOOKUP($A35,'MG Universe'!$A$2:$R$9994,18)</f>
        <v>94.23</v>
      </c>
    </row>
    <row r="36" spans="1:18" x14ac:dyDescent="0.55000000000000004">
      <c r="A36" s="18" t="s">
        <v>86</v>
      </c>
      <c r="B36" s="19" t="str">
        <f>VLOOKUP($A36,'MG Universe'!$A$2:$R$9994,2)</f>
        <v>Ameriprise Financial, Inc.</v>
      </c>
      <c r="C36" s="19" t="str">
        <f>VLOOKUP($A36,'MG Universe'!$A$2:$R$9994,3)</f>
        <v>A-</v>
      </c>
      <c r="D36" s="19" t="str">
        <f>VLOOKUP($A36,'MG Universe'!$A$2:$R$9994,4)</f>
        <v>E</v>
      </c>
      <c r="E36" s="19" t="str">
        <f>VLOOKUP($A36,'MG Universe'!$A$2:$R$9994,5)</f>
        <v>U</v>
      </c>
      <c r="F36" s="20" t="str">
        <f>VLOOKUP($A36,'MG Universe'!$A$2:$R$9994,6)</f>
        <v>EU</v>
      </c>
      <c r="G36" s="103">
        <f>VLOOKUP($A36,'MG Universe'!$A$2:$R$9994,7)</f>
        <v>42324</v>
      </c>
      <c r="H36" s="22">
        <f>VLOOKUP($A36,'MG Universe'!$A$2:$R$9994,8)</f>
        <v>282.18</v>
      </c>
      <c r="I36" s="22">
        <f>VLOOKUP($A36,'MG Universe'!$A$2:$R$9994,9)</f>
        <v>87.89</v>
      </c>
      <c r="J36" s="23">
        <f>VLOOKUP($A36,'MG Universe'!$A$2:$R$9994,10)</f>
        <v>0.3115</v>
      </c>
      <c r="K36" s="105">
        <f>VLOOKUP($A36,'MG Universe'!$A$2:$R$9994,11)</f>
        <v>11.99</v>
      </c>
      <c r="L36" s="23">
        <f>VLOOKUP($A36,'MG Universe'!$A$2:$R$9994,12)</f>
        <v>3.0499999999999999E-2</v>
      </c>
      <c r="M36" s="106">
        <f>VLOOKUP($A36,'MG Universe'!$A$2:$R$9994,13)</f>
        <v>1.7</v>
      </c>
      <c r="N36" s="107" t="str">
        <f>VLOOKUP($A36,'MG Universe'!$A$2:$R$9994,14)</f>
        <v>N/A</v>
      </c>
      <c r="O36" s="22" t="str">
        <f>VLOOKUP($A36,'MG Universe'!$A$2:$R$9994,15)</f>
        <v>N/A</v>
      </c>
      <c r="P36" s="23">
        <f>VLOOKUP($A36,'MG Universe'!$A$2:$R$9994,16)</f>
        <v>1.7500000000000002E-2</v>
      </c>
      <c r="Q36" s="109">
        <f>VLOOKUP($A36,'MG Universe'!$A$2:$R$9994,17)</f>
        <v>11</v>
      </c>
      <c r="R36" s="22">
        <f>VLOOKUP($A36,'MG Universe'!$A$2:$R$9994,18)</f>
        <v>91.7</v>
      </c>
    </row>
    <row r="37" spans="1:18" x14ac:dyDescent="0.55000000000000004">
      <c r="A37" s="18" t="s">
        <v>716</v>
      </c>
      <c r="B37" s="19" t="str">
        <f>VLOOKUP($A37,'MG Universe'!$A$2:$R$9994,2)</f>
        <v>American Tower Corp</v>
      </c>
      <c r="C37" s="19" t="str">
        <f>VLOOKUP($A37,'MG Universe'!$A$2:$R$9994,3)</f>
        <v>D</v>
      </c>
      <c r="D37" s="19" t="str">
        <f>VLOOKUP($A37,'MG Universe'!$A$2:$R$9994,4)</f>
        <v>S</v>
      </c>
      <c r="E37" s="19" t="str">
        <f>VLOOKUP($A37,'MG Universe'!$A$2:$R$9994,5)</f>
        <v>O</v>
      </c>
      <c r="F37" s="20" t="str">
        <f>VLOOKUP($A37,'MG Universe'!$A$2:$R$9994,6)</f>
        <v>SO</v>
      </c>
      <c r="G37" s="103">
        <f>VLOOKUP($A37,'MG Universe'!$A$2:$R$9994,7)</f>
        <v>42325</v>
      </c>
      <c r="H37" s="22">
        <f>VLOOKUP($A37,'MG Universe'!$A$2:$R$9994,8)</f>
        <v>69.25</v>
      </c>
      <c r="I37" s="22">
        <f>VLOOKUP($A37,'MG Universe'!$A$2:$R$9994,9)</f>
        <v>94.62</v>
      </c>
      <c r="J37" s="23">
        <f>VLOOKUP($A37,'MG Universe'!$A$2:$R$9994,10)</f>
        <v>1.3664000000000001</v>
      </c>
      <c r="K37" s="105">
        <f>VLOOKUP($A37,'MG Universe'!$A$2:$R$9994,11)</f>
        <v>52.57</v>
      </c>
      <c r="L37" s="23">
        <f>VLOOKUP($A37,'MG Universe'!$A$2:$R$9994,12)</f>
        <v>2.07E-2</v>
      </c>
      <c r="M37" s="106">
        <f>VLOOKUP($A37,'MG Universe'!$A$2:$R$9994,13)</f>
        <v>0.5</v>
      </c>
      <c r="N37" s="107">
        <f>VLOOKUP($A37,'MG Universe'!$A$2:$R$9994,14)</f>
        <v>0.69</v>
      </c>
      <c r="O37" s="22">
        <f>VLOOKUP($A37,'MG Universe'!$A$2:$R$9994,15)</f>
        <v>-45.34</v>
      </c>
      <c r="P37" s="23">
        <f>VLOOKUP($A37,'MG Universe'!$A$2:$R$9994,16)</f>
        <v>0.2203</v>
      </c>
      <c r="Q37" s="109">
        <f>VLOOKUP($A37,'MG Universe'!$A$2:$R$9994,17)</f>
        <v>4</v>
      </c>
      <c r="R37" s="22">
        <f>VLOOKUP($A37,'MG Universe'!$A$2:$R$9994,18)</f>
        <v>27.37</v>
      </c>
    </row>
    <row r="38" spans="1:18" x14ac:dyDescent="0.55000000000000004">
      <c r="A38" s="18" t="s">
        <v>1039</v>
      </c>
      <c r="B38" s="19" t="str">
        <f>VLOOKUP($A38,'MG Universe'!$A$2:$R$9994,2)</f>
        <v>Amazon.com, Inc.</v>
      </c>
      <c r="C38" s="19" t="str">
        <f>VLOOKUP($A38,'MG Universe'!$A$2:$R$9994,3)</f>
        <v>F</v>
      </c>
      <c r="D38" s="19" t="str">
        <f>VLOOKUP($A38,'MG Universe'!$A$2:$R$9994,4)</f>
        <v>S</v>
      </c>
      <c r="E38" s="19" t="str">
        <f>VLOOKUP($A38,'MG Universe'!$A$2:$R$9994,5)</f>
        <v>O</v>
      </c>
      <c r="F38" s="20" t="str">
        <f>VLOOKUP($A38,'MG Universe'!$A$2:$R$9994,6)</f>
        <v>SO</v>
      </c>
      <c r="G38" s="103">
        <f>VLOOKUP($A38,'MG Universe'!$A$2:$R$9994,7)</f>
        <v>42028</v>
      </c>
      <c r="H38" s="22">
        <f>VLOOKUP($A38,'MG Universe'!$A$2:$R$9994,8)</f>
        <v>0</v>
      </c>
      <c r="I38" s="22">
        <f>VLOOKUP($A38,'MG Universe'!$A$2:$R$9994,9)</f>
        <v>580.21</v>
      </c>
      <c r="J38" s="23" t="str">
        <f>VLOOKUP($A38,'MG Universe'!$A$2:$R$9994,10)</f>
        <v>N/A</v>
      </c>
      <c r="K38" s="105">
        <f>VLOOKUP($A38,'MG Universe'!$A$2:$R$9994,11)</f>
        <v>29010.5</v>
      </c>
      <c r="L38" s="23" t="str">
        <f>VLOOKUP($A38,'MG Universe'!$A$2:$R$9994,12)</f>
        <v>N/A</v>
      </c>
      <c r="M38" s="106">
        <f>VLOOKUP($A38,'MG Universe'!$A$2:$R$9994,13)</f>
        <v>1.1000000000000001</v>
      </c>
      <c r="N38" s="107">
        <f>VLOOKUP($A38,'MG Universe'!$A$2:$R$9994,14)</f>
        <v>0.89</v>
      </c>
      <c r="O38" s="22">
        <f>VLOOKUP($A38,'MG Universe'!$A$2:$R$9994,15)</f>
        <v>-24.86</v>
      </c>
      <c r="P38" s="23">
        <f>VLOOKUP($A38,'MG Universe'!$A$2:$R$9994,16)</f>
        <v>145.01</v>
      </c>
      <c r="Q38" s="109">
        <f>VLOOKUP($A38,'MG Universe'!$A$2:$R$9994,17)</f>
        <v>0</v>
      </c>
      <c r="R38" s="22">
        <f>VLOOKUP($A38,'MG Universe'!$A$2:$R$9994,18)</f>
        <v>0</v>
      </c>
    </row>
    <row r="39" spans="1:18" x14ac:dyDescent="0.55000000000000004">
      <c r="A39" s="18" t="s">
        <v>486</v>
      </c>
      <c r="B39" s="19" t="str">
        <f>VLOOKUP($A39,'MG Universe'!$A$2:$R$9994,2)</f>
        <v>AutoNation, Inc.</v>
      </c>
      <c r="C39" s="19" t="str">
        <f>VLOOKUP($A39,'MG Universe'!$A$2:$R$9994,3)</f>
        <v>C-</v>
      </c>
      <c r="D39" s="19" t="str">
        <f>VLOOKUP($A39,'MG Universe'!$A$2:$R$9994,4)</f>
        <v>S</v>
      </c>
      <c r="E39" s="19" t="str">
        <f>VLOOKUP($A39,'MG Universe'!$A$2:$R$9994,5)</f>
        <v>U</v>
      </c>
      <c r="F39" s="20" t="str">
        <f>VLOOKUP($A39,'MG Universe'!$A$2:$R$9994,6)</f>
        <v>SU</v>
      </c>
      <c r="G39" s="103">
        <f>VLOOKUP($A39,'MG Universe'!$A$2:$R$9994,7)</f>
        <v>42333</v>
      </c>
      <c r="H39" s="22">
        <f>VLOOKUP($A39,'MG Universe'!$A$2:$R$9994,8)</f>
        <v>129.62</v>
      </c>
      <c r="I39" s="22">
        <f>VLOOKUP($A39,'MG Universe'!$A$2:$R$9994,9)</f>
        <v>51.55</v>
      </c>
      <c r="J39" s="23">
        <f>VLOOKUP($A39,'MG Universe'!$A$2:$R$9994,10)</f>
        <v>0.3977</v>
      </c>
      <c r="K39" s="105">
        <f>VLOOKUP($A39,'MG Universe'!$A$2:$R$9994,11)</f>
        <v>15.3</v>
      </c>
      <c r="L39" s="23" t="str">
        <f>VLOOKUP($A39,'MG Universe'!$A$2:$R$9994,12)</f>
        <v>N/A</v>
      </c>
      <c r="M39" s="106">
        <f>VLOOKUP($A39,'MG Universe'!$A$2:$R$9994,13)</f>
        <v>1.1000000000000001</v>
      </c>
      <c r="N39" s="107">
        <f>VLOOKUP($A39,'MG Universe'!$A$2:$R$9994,14)</f>
        <v>0.95</v>
      </c>
      <c r="O39" s="22">
        <f>VLOOKUP($A39,'MG Universe'!$A$2:$R$9994,15)</f>
        <v>-20.55</v>
      </c>
      <c r="P39" s="23">
        <f>VLOOKUP($A39,'MG Universe'!$A$2:$R$9994,16)</f>
        <v>3.4000000000000002E-2</v>
      </c>
      <c r="Q39" s="109">
        <f>VLOOKUP($A39,'MG Universe'!$A$2:$R$9994,17)</f>
        <v>0</v>
      </c>
      <c r="R39" s="22">
        <f>VLOOKUP($A39,'MG Universe'!$A$2:$R$9994,18)</f>
        <v>43.22</v>
      </c>
    </row>
    <row r="40" spans="1:18" x14ac:dyDescent="0.55000000000000004">
      <c r="A40" s="18" t="s">
        <v>148</v>
      </c>
      <c r="B40" s="19" t="str">
        <f>VLOOKUP($A40,'MG Universe'!$A$2:$R$9994,2)</f>
        <v>Anthem Inc</v>
      </c>
      <c r="C40" s="19" t="str">
        <f>VLOOKUP($A40,'MG Universe'!$A$2:$R$9994,3)</f>
        <v>B</v>
      </c>
      <c r="D40" s="19" t="str">
        <f>VLOOKUP($A40,'MG Universe'!$A$2:$R$9994,4)</f>
        <v>E</v>
      </c>
      <c r="E40" s="19" t="str">
        <f>VLOOKUP($A40,'MG Universe'!$A$2:$R$9994,5)</f>
        <v>F</v>
      </c>
      <c r="F40" s="20" t="str">
        <f>VLOOKUP($A40,'MG Universe'!$A$2:$R$9994,6)</f>
        <v>EF</v>
      </c>
      <c r="G40" s="103">
        <f>VLOOKUP($A40,'MG Universe'!$A$2:$R$9994,7)</f>
        <v>42409</v>
      </c>
      <c r="H40" s="22">
        <f>VLOOKUP($A40,'MG Universe'!$A$2:$R$9994,8)</f>
        <v>163.82</v>
      </c>
      <c r="I40" s="22">
        <f>VLOOKUP($A40,'MG Universe'!$A$2:$R$9994,9)</f>
        <v>134.09</v>
      </c>
      <c r="J40" s="23">
        <f>VLOOKUP($A40,'MG Universe'!$A$2:$R$9994,10)</f>
        <v>0.81850000000000001</v>
      </c>
      <c r="K40" s="105">
        <f>VLOOKUP($A40,'MG Universe'!$A$2:$R$9994,11)</f>
        <v>13.7</v>
      </c>
      <c r="L40" s="23">
        <f>VLOOKUP($A40,'MG Universe'!$A$2:$R$9994,12)</f>
        <v>1.9400000000000001E-2</v>
      </c>
      <c r="M40" s="106">
        <f>VLOOKUP($A40,'MG Universe'!$A$2:$R$9994,13)</f>
        <v>0.6</v>
      </c>
      <c r="N40" s="107" t="str">
        <f>VLOOKUP($A40,'MG Universe'!$A$2:$R$9994,14)</f>
        <v>N/A</v>
      </c>
      <c r="O40" s="22" t="str">
        <f>VLOOKUP($A40,'MG Universe'!$A$2:$R$9994,15)</f>
        <v>N/A</v>
      </c>
      <c r="P40" s="23">
        <f>VLOOKUP($A40,'MG Universe'!$A$2:$R$9994,16)</f>
        <v>2.5999999999999999E-2</v>
      </c>
      <c r="Q40" s="109">
        <f>VLOOKUP($A40,'MG Universe'!$A$2:$R$9994,17)</f>
        <v>6</v>
      </c>
      <c r="R40" s="22">
        <f>VLOOKUP($A40,'MG Universe'!$A$2:$R$9994,18)</f>
        <v>145.79</v>
      </c>
    </row>
    <row r="41" spans="1:18" x14ac:dyDescent="0.55000000000000004">
      <c r="A41" s="18" t="s">
        <v>1041</v>
      </c>
      <c r="B41" s="19" t="str">
        <f>VLOOKUP($A41,'MG Universe'!$A$2:$R$9994,2)</f>
        <v>Aon plc Class A Ordinary Shares (UK)</v>
      </c>
      <c r="C41" s="19" t="str">
        <f>VLOOKUP($A41,'MG Universe'!$A$2:$R$9994,3)</f>
        <v>F</v>
      </c>
      <c r="D41" s="19" t="str">
        <f>VLOOKUP($A41,'MG Universe'!$A$2:$R$9994,4)</f>
        <v>S</v>
      </c>
      <c r="E41" s="19" t="str">
        <f>VLOOKUP($A41,'MG Universe'!$A$2:$R$9994,5)</f>
        <v>O</v>
      </c>
      <c r="F41" s="20" t="str">
        <f>VLOOKUP($A41,'MG Universe'!$A$2:$R$9994,6)</f>
        <v>SO</v>
      </c>
      <c r="G41" s="103">
        <f>VLOOKUP($A41,'MG Universe'!$A$2:$R$9994,7)</f>
        <v>42396</v>
      </c>
      <c r="H41" s="22">
        <f>VLOOKUP($A41,'MG Universe'!$A$2:$R$9994,8)</f>
        <v>87.72</v>
      </c>
      <c r="I41" s="22">
        <f>VLOOKUP($A41,'MG Universe'!$A$2:$R$9994,9)</f>
        <v>97.39</v>
      </c>
      <c r="J41" s="23">
        <f>VLOOKUP($A41,'MG Universe'!$A$2:$R$9994,10)</f>
        <v>1.1102000000000001</v>
      </c>
      <c r="K41" s="105">
        <f>VLOOKUP($A41,'MG Universe'!$A$2:$R$9994,11)</f>
        <v>23.47</v>
      </c>
      <c r="L41" s="23">
        <f>VLOOKUP($A41,'MG Universe'!$A$2:$R$9994,12)</f>
        <v>1.23E-2</v>
      </c>
      <c r="M41" s="106">
        <f>VLOOKUP($A41,'MG Universe'!$A$2:$R$9994,13)</f>
        <v>1.1000000000000001</v>
      </c>
      <c r="N41" s="107">
        <f>VLOOKUP($A41,'MG Universe'!$A$2:$R$9994,14)</f>
        <v>1.03</v>
      </c>
      <c r="O41" s="22">
        <f>VLOOKUP($A41,'MG Universe'!$A$2:$R$9994,15)</f>
        <v>-26.09</v>
      </c>
      <c r="P41" s="23">
        <f>VLOOKUP($A41,'MG Universe'!$A$2:$R$9994,16)</f>
        <v>7.4800000000000005E-2</v>
      </c>
      <c r="Q41" s="109">
        <f>VLOOKUP($A41,'MG Universe'!$A$2:$R$9994,17)</f>
        <v>4</v>
      </c>
      <c r="R41" s="22">
        <f>VLOOKUP($A41,'MG Universe'!$A$2:$R$9994,18)</f>
        <v>48.36</v>
      </c>
    </row>
    <row r="42" spans="1:18" x14ac:dyDescent="0.55000000000000004">
      <c r="A42" s="18" t="s">
        <v>720</v>
      </c>
      <c r="B42" s="19" t="str">
        <f>VLOOKUP($A42,'MG Universe'!$A$2:$R$9994,2)</f>
        <v>Apache Corporation</v>
      </c>
      <c r="C42" s="19" t="str">
        <f>VLOOKUP($A42,'MG Universe'!$A$2:$R$9994,3)</f>
        <v>D</v>
      </c>
      <c r="D42" s="19" t="str">
        <f>VLOOKUP($A42,'MG Universe'!$A$2:$R$9994,4)</f>
        <v>S</v>
      </c>
      <c r="E42" s="19" t="str">
        <f>VLOOKUP($A42,'MG Universe'!$A$2:$R$9994,5)</f>
        <v>O</v>
      </c>
      <c r="F42" s="20" t="str">
        <f>VLOOKUP($A42,'MG Universe'!$A$2:$R$9994,6)</f>
        <v>SO</v>
      </c>
      <c r="G42" s="103">
        <f>VLOOKUP($A42,'MG Universe'!$A$2:$R$9994,7)</f>
        <v>42399</v>
      </c>
      <c r="H42" s="22">
        <f>VLOOKUP($A42,'MG Universe'!$A$2:$R$9994,8)</f>
        <v>0</v>
      </c>
      <c r="I42" s="22">
        <f>VLOOKUP($A42,'MG Universe'!$A$2:$R$9994,9)</f>
        <v>41.96</v>
      </c>
      <c r="J42" s="23" t="str">
        <f>VLOOKUP($A42,'MG Universe'!$A$2:$R$9994,10)</f>
        <v>N/A</v>
      </c>
      <c r="K42" s="105" t="str">
        <f>VLOOKUP($A42,'MG Universe'!$A$2:$R$9994,11)</f>
        <v>N/A</v>
      </c>
      <c r="L42" s="23">
        <f>VLOOKUP($A42,'MG Universe'!$A$2:$R$9994,12)</f>
        <v>2.3800000000000002E-2</v>
      </c>
      <c r="M42" s="106">
        <f>VLOOKUP($A42,'MG Universe'!$A$2:$R$9994,13)</f>
        <v>1.5</v>
      </c>
      <c r="N42" s="107">
        <f>VLOOKUP($A42,'MG Universe'!$A$2:$R$9994,14)</f>
        <v>1.88</v>
      </c>
      <c r="O42" s="22">
        <f>VLOOKUP($A42,'MG Universe'!$A$2:$R$9994,15)</f>
        <v>-36.840000000000003</v>
      </c>
      <c r="P42" s="23">
        <f>VLOOKUP($A42,'MG Universe'!$A$2:$R$9994,16)</f>
        <v>-5.6000000000000001E-2</v>
      </c>
      <c r="Q42" s="109">
        <f>VLOOKUP($A42,'MG Universe'!$A$2:$R$9994,17)</f>
        <v>4</v>
      </c>
      <c r="R42" s="22" t="str">
        <f>VLOOKUP($A42,'MG Universe'!$A$2:$R$9994,18)</f>
        <v>N/A</v>
      </c>
    </row>
    <row r="43" spans="1:18" x14ac:dyDescent="0.55000000000000004">
      <c r="A43" s="18" t="s">
        <v>1043</v>
      </c>
      <c r="B43" s="19" t="str">
        <f>VLOOKUP($A43,'MG Universe'!$A$2:$R$9994,2)</f>
        <v>Anadarko Petroleum Corporation</v>
      </c>
      <c r="C43" s="19" t="str">
        <f>VLOOKUP($A43,'MG Universe'!$A$2:$R$9994,3)</f>
        <v>F</v>
      </c>
      <c r="D43" s="19" t="str">
        <f>VLOOKUP($A43,'MG Universe'!$A$2:$R$9994,4)</f>
        <v>S</v>
      </c>
      <c r="E43" s="19" t="str">
        <f>VLOOKUP($A43,'MG Universe'!$A$2:$R$9994,5)</f>
        <v>O</v>
      </c>
      <c r="F43" s="20" t="str">
        <f>VLOOKUP($A43,'MG Universe'!$A$2:$R$9994,6)</f>
        <v>SO</v>
      </c>
      <c r="G43" s="103">
        <f>VLOOKUP($A43,'MG Universe'!$A$2:$R$9994,7)</f>
        <v>42398</v>
      </c>
      <c r="H43" s="22">
        <f>VLOOKUP($A43,'MG Universe'!$A$2:$R$9994,8)</f>
        <v>0</v>
      </c>
      <c r="I43" s="22">
        <f>VLOOKUP($A43,'MG Universe'!$A$2:$R$9994,9)</f>
        <v>42.64</v>
      </c>
      <c r="J43" s="23" t="str">
        <f>VLOOKUP($A43,'MG Universe'!$A$2:$R$9994,10)</f>
        <v>N/A</v>
      </c>
      <c r="K43" s="105" t="str">
        <f>VLOOKUP($A43,'MG Universe'!$A$2:$R$9994,11)</f>
        <v>N/A</v>
      </c>
      <c r="L43" s="23">
        <f>VLOOKUP($A43,'MG Universe'!$A$2:$R$9994,12)</f>
        <v>4.7000000000000002E-3</v>
      </c>
      <c r="M43" s="106">
        <f>VLOOKUP($A43,'MG Universe'!$A$2:$R$9994,13)</f>
        <v>1.4</v>
      </c>
      <c r="N43" s="107">
        <f>VLOOKUP($A43,'MG Universe'!$A$2:$R$9994,14)</f>
        <v>1.17</v>
      </c>
      <c r="O43" s="22">
        <f>VLOOKUP($A43,'MG Universe'!$A$2:$R$9994,15)</f>
        <v>-58.89</v>
      </c>
      <c r="P43" s="23">
        <f>VLOOKUP($A43,'MG Universe'!$A$2:$R$9994,16)</f>
        <v>-9.11E-2</v>
      </c>
      <c r="Q43" s="109">
        <f>VLOOKUP($A43,'MG Universe'!$A$2:$R$9994,17)</f>
        <v>3</v>
      </c>
      <c r="R43" s="22" t="str">
        <f>VLOOKUP($A43,'MG Universe'!$A$2:$R$9994,18)</f>
        <v>N/A</v>
      </c>
    </row>
    <row r="44" spans="1:18" x14ac:dyDescent="0.55000000000000004">
      <c r="A44" s="18" t="s">
        <v>219</v>
      </c>
      <c r="B44" s="19" t="str">
        <f>VLOOKUP($A44,'MG Universe'!$A$2:$R$9994,2)</f>
        <v>Air Products &amp; Chemicals, Inc.</v>
      </c>
      <c r="C44" s="19" t="str">
        <f>VLOOKUP($A44,'MG Universe'!$A$2:$R$9994,3)</f>
        <v>B-</v>
      </c>
      <c r="D44" s="19" t="str">
        <f>VLOOKUP($A44,'MG Universe'!$A$2:$R$9994,4)</f>
        <v>E</v>
      </c>
      <c r="E44" s="19" t="str">
        <f>VLOOKUP($A44,'MG Universe'!$A$2:$R$9994,5)</f>
        <v>O</v>
      </c>
      <c r="F44" s="20" t="str">
        <f>VLOOKUP($A44,'MG Universe'!$A$2:$R$9994,6)</f>
        <v>EO</v>
      </c>
      <c r="G44" s="103">
        <f>VLOOKUP($A44,'MG Universe'!$A$2:$R$9994,7)</f>
        <v>42409</v>
      </c>
      <c r="H44" s="22">
        <f>VLOOKUP($A44,'MG Universe'!$A$2:$R$9994,8)</f>
        <v>86.15</v>
      </c>
      <c r="I44" s="22">
        <f>VLOOKUP($A44,'MG Universe'!$A$2:$R$9994,9)</f>
        <v>134.22</v>
      </c>
      <c r="J44" s="23">
        <f>VLOOKUP($A44,'MG Universe'!$A$2:$R$9994,10)</f>
        <v>1.5580000000000001</v>
      </c>
      <c r="K44" s="105">
        <f>VLOOKUP($A44,'MG Universe'!$A$2:$R$9994,11)</f>
        <v>22.63</v>
      </c>
      <c r="L44" s="23">
        <f>VLOOKUP($A44,'MG Universe'!$A$2:$R$9994,12)</f>
        <v>2.41E-2</v>
      </c>
      <c r="M44" s="106">
        <f>VLOOKUP($A44,'MG Universe'!$A$2:$R$9994,13)</f>
        <v>1.2</v>
      </c>
      <c r="N44" s="107">
        <f>VLOOKUP($A44,'MG Universe'!$A$2:$R$9994,14)</f>
        <v>0.8</v>
      </c>
      <c r="O44" s="22">
        <f>VLOOKUP($A44,'MG Universe'!$A$2:$R$9994,15)</f>
        <v>-33.450000000000003</v>
      </c>
      <c r="P44" s="23">
        <f>VLOOKUP($A44,'MG Universe'!$A$2:$R$9994,16)</f>
        <v>7.0699999999999999E-2</v>
      </c>
      <c r="Q44" s="109">
        <f>VLOOKUP($A44,'MG Universe'!$A$2:$R$9994,17)</f>
        <v>20</v>
      </c>
      <c r="R44" s="22">
        <f>VLOOKUP($A44,'MG Universe'!$A$2:$R$9994,18)</f>
        <v>74.61</v>
      </c>
    </row>
    <row r="45" spans="1:18" x14ac:dyDescent="0.55000000000000004">
      <c r="A45" s="18" t="s">
        <v>359</v>
      </c>
      <c r="B45" s="19" t="str">
        <f>VLOOKUP($A45,'MG Universe'!$A$2:$R$9994,2)</f>
        <v>Amphenol Corporation</v>
      </c>
      <c r="C45" s="19" t="str">
        <f>VLOOKUP($A45,'MG Universe'!$A$2:$R$9994,3)</f>
        <v>C</v>
      </c>
      <c r="D45" s="19" t="str">
        <f>VLOOKUP($A45,'MG Universe'!$A$2:$R$9994,4)</f>
        <v>E</v>
      </c>
      <c r="E45" s="19" t="str">
        <f>VLOOKUP($A45,'MG Universe'!$A$2:$R$9994,5)</f>
        <v>F</v>
      </c>
      <c r="F45" s="20" t="str">
        <f>VLOOKUP($A45,'MG Universe'!$A$2:$R$9994,6)</f>
        <v>EF</v>
      </c>
      <c r="G45" s="103">
        <f>VLOOKUP($A45,'MG Universe'!$A$2:$R$9994,7)</f>
        <v>42373</v>
      </c>
      <c r="H45" s="22">
        <f>VLOOKUP($A45,'MG Universe'!$A$2:$R$9994,8)</f>
        <v>57.49</v>
      </c>
      <c r="I45" s="22">
        <f>VLOOKUP($A45,'MG Universe'!$A$2:$R$9994,9)</f>
        <v>55.19</v>
      </c>
      <c r="J45" s="23">
        <f>VLOOKUP($A45,'MG Universe'!$A$2:$R$9994,10)</f>
        <v>0.96</v>
      </c>
      <c r="K45" s="105">
        <f>VLOOKUP($A45,'MG Universe'!$A$2:$R$9994,11)</f>
        <v>26.28</v>
      </c>
      <c r="L45" s="23">
        <f>VLOOKUP($A45,'MG Universe'!$A$2:$R$9994,12)</f>
        <v>1.01E-2</v>
      </c>
      <c r="M45" s="106">
        <f>VLOOKUP($A45,'MG Universe'!$A$2:$R$9994,13)</f>
        <v>1.2</v>
      </c>
      <c r="N45" s="107">
        <f>VLOOKUP($A45,'MG Universe'!$A$2:$R$9994,14)</f>
        <v>3.57</v>
      </c>
      <c r="O45" s="22">
        <f>VLOOKUP($A45,'MG Universe'!$A$2:$R$9994,15)</f>
        <v>-1.52</v>
      </c>
      <c r="P45" s="23">
        <f>VLOOKUP($A45,'MG Universe'!$A$2:$R$9994,16)</f>
        <v>8.8900000000000007E-2</v>
      </c>
      <c r="Q45" s="109">
        <f>VLOOKUP($A45,'MG Universe'!$A$2:$R$9994,17)</f>
        <v>4</v>
      </c>
      <c r="R45" s="22">
        <f>VLOOKUP($A45,'MG Universe'!$A$2:$R$9994,18)</f>
        <v>23.32</v>
      </c>
    </row>
    <row r="46" spans="1:18" x14ac:dyDescent="0.55000000000000004">
      <c r="A46" s="18" t="s">
        <v>1045</v>
      </c>
      <c r="B46" s="19" t="str">
        <f>VLOOKUP($A46,'MG Universe'!$A$2:$R$9994,2)</f>
        <v>Airgas, Inc.</v>
      </c>
      <c r="C46" s="19" t="str">
        <f>VLOOKUP($A46,'MG Universe'!$A$2:$R$9994,3)</f>
        <v>F</v>
      </c>
      <c r="D46" s="19" t="str">
        <f>VLOOKUP($A46,'MG Universe'!$A$2:$R$9994,4)</f>
        <v>S</v>
      </c>
      <c r="E46" s="19" t="str">
        <f>VLOOKUP($A46,'MG Universe'!$A$2:$R$9994,5)</f>
        <v>O</v>
      </c>
      <c r="F46" s="20" t="str">
        <f>VLOOKUP($A46,'MG Universe'!$A$2:$R$9994,6)</f>
        <v>SO</v>
      </c>
      <c r="G46" s="103">
        <f>VLOOKUP($A46,'MG Universe'!$A$2:$R$9994,7)</f>
        <v>42415</v>
      </c>
      <c r="H46" s="22">
        <f>VLOOKUP($A46,'MG Universe'!$A$2:$R$9994,8)</f>
        <v>102.95</v>
      </c>
      <c r="I46" s="22">
        <f>VLOOKUP($A46,'MG Universe'!$A$2:$R$9994,9)</f>
        <v>141.68</v>
      </c>
      <c r="J46" s="23">
        <f>VLOOKUP($A46,'MG Universe'!$A$2:$R$9994,10)</f>
        <v>1.3762000000000001</v>
      </c>
      <c r="K46" s="105">
        <f>VLOOKUP($A46,'MG Universe'!$A$2:$R$9994,11)</f>
        <v>30.6</v>
      </c>
      <c r="L46" s="23">
        <f>VLOOKUP($A46,'MG Universe'!$A$2:$R$9994,12)</f>
        <v>1.6899999999999998E-2</v>
      </c>
      <c r="M46" s="106">
        <f>VLOOKUP($A46,'MG Universe'!$A$2:$R$9994,13)</f>
        <v>0.7</v>
      </c>
      <c r="N46" s="107">
        <f>VLOOKUP($A46,'MG Universe'!$A$2:$R$9994,14)</f>
        <v>1.1200000000000001</v>
      </c>
      <c r="O46" s="22">
        <f>VLOOKUP($A46,'MG Universe'!$A$2:$R$9994,15)</f>
        <v>-37.9</v>
      </c>
      <c r="P46" s="23">
        <f>VLOOKUP($A46,'MG Universe'!$A$2:$R$9994,16)</f>
        <v>0.1105</v>
      </c>
      <c r="Q46" s="109">
        <f>VLOOKUP($A46,'MG Universe'!$A$2:$R$9994,17)</f>
        <v>13</v>
      </c>
      <c r="R46" s="22">
        <f>VLOOKUP($A46,'MG Universe'!$A$2:$R$9994,18)</f>
        <v>53.59</v>
      </c>
    </row>
    <row r="47" spans="1:18" x14ac:dyDescent="0.55000000000000004">
      <c r="A47" s="18" t="s">
        <v>726</v>
      </c>
      <c r="B47" s="19" t="str">
        <f>VLOOKUP($A47,'MG Universe'!$A$2:$R$9994,2)</f>
        <v>Allegheny Technologies Incorporated</v>
      </c>
      <c r="C47" s="19" t="str">
        <f>VLOOKUP($A47,'MG Universe'!$A$2:$R$9994,3)</f>
        <v>D</v>
      </c>
      <c r="D47" s="19" t="str">
        <f>VLOOKUP($A47,'MG Universe'!$A$2:$R$9994,4)</f>
        <v>S</v>
      </c>
      <c r="E47" s="19" t="str">
        <f>VLOOKUP($A47,'MG Universe'!$A$2:$R$9994,5)</f>
        <v>O</v>
      </c>
      <c r="F47" s="20" t="str">
        <f>VLOOKUP($A47,'MG Universe'!$A$2:$R$9994,6)</f>
        <v>SO</v>
      </c>
      <c r="G47" s="103">
        <f>VLOOKUP($A47,'MG Universe'!$A$2:$R$9994,7)</f>
        <v>42332</v>
      </c>
      <c r="H47" s="22">
        <f>VLOOKUP($A47,'MG Universe'!$A$2:$R$9994,8)</f>
        <v>0</v>
      </c>
      <c r="I47" s="22">
        <f>VLOOKUP($A47,'MG Universe'!$A$2:$R$9994,9)</f>
        <v>15.35</v>
      </c>
      <c r="J47" s="23" t="str">
        <f>VLOOKUP($A47,'MG Universe'!$A$2:$R$9994,10)</f>
        <v>N/A</v>
      </c>
      <c r="K47" s="105" t="str">
        <f>VLOOKUP($A47,'MG Universe'!$A$2:$R$9994,11)</f>
        <v>N/A</v>
      </c>
      <c r="L47" s="23">
        <f>VLOOKUP($A47,'MG Universe'!$A$2:$R$9994,12)</f>
        <v>2.0799999999999999E-2</v>
      </c>
      <c r="M47" s="106">
        <f>VLOOKUP($A47,'MG Universe'!$A$2:$R$9994,13)</f>
        <v>2.1</v>
      </c>
      <c r="N47" s="107">
        <f>VLOOKUP($A47,'MG Universe'!$A$2:$R$9994,14)</f>
        <v>2.85</v>
      </c>
      <c r="O47" s="22">
        <f>VLOOKUP($A47,'MG Universe'!$A$2:$R$9994,15)</f>
        <v>-15.44</v>
      </c>
      <c r="P47" s="23">
        <f>VLOOKUP($A47,'MG Universe'!$A$2:$R$9994,16)</f>
        <v>-1.3217000000000001</v>
      </c>
      <c r="Q47" s="109">
        <f>VLOOKUP($A47,'MG Universe'!$A$2:$R$9994,17)</f>
        <v>0</v>
      </c>
      <c r="R47" s="22" t="str">
        <f>VLOOKUP($A47,'MG Universe'!$A$2:$R$9994,18)</f>
        <v>N/A</v>
      </c>
    </row>
    <row r="48" spans="1:18" x14ac:dyDescent="0.55000000000000004">
      <c r="A48" s="18" t="s">
        <v>728</v>
      </c>
      <c r="B48" s="19" t="str">
        <f>VLOOKUP($A48,'MG Universe'!$A$2:$R$9994,2)</f>
        <v>AvalonBay Communities Inc</v>
      </c>
      <c r="C48" s="19" t="str">
        <f>VLOOKUP($A48,'MG Universe'!$A$2:$R$9994,3)</f>
        <v>D</v>
      </c>
      <c r="D48" s="19" t="str">
        <f>VLOOKUP($A48,'MG Universe'!$A$2:$R$9994,4)</f>
        <v>S</v>
      </c>
      <c r="E48" s="19" t="str">
        <f>VLOOKUP($A48,'MG Universe'!$A$2:$R$9994,5)</f>
        <v>O</v>
      </c>
      <c r="F48" s="20" t="str">
        <f>VLOOKUP($A48,'MG Universe'!$A$2:$R$9994,6)</f>
        <v>SO</v>
      </c>
      <c r="G48" s="103">
        <f>VLOOKUP($A48,'MG Universe'!$A$2:$R$9994,7)</f>
        <v>42001</v>
      </c>
      <c r="H48" s="22">
        <f>VLOOKUP($A48,'MG Universe'!$A$2:$R$9994,8)</f>
        <v>124.05</v>
      </c>
      <c r="I48" s="22">
        <f>VLOOKUP($A48,'MG Universe'!$A$2:$R$9994,9)</f>
        <v>178.53</v>
      </c>
      <c r="J48" s="23">
        <f>VLOOKUP($A48,'MG Universe'!$A$2:$R$9994,10)</f>
        <v>1.4392</v>
      </c>
      <c r="K48" s="105">
        <f>VLOOKUP($A48,'MG Universe'!$A$2:$R$9994,11)</f>
        <v>37.119999999999997</v>
      </c>
      <c r="L48" s="23">
        <f>VLOOKUP($A48,'MG Universe'!$A$2:$R$9994,12)</f>
        <v>3.0200000000000001E-2</v>
      </c>
      <c r="M48" s="106">
        <f>VLOOKUP($A48,'MG Universe'!$A$2:$R$9994,13)</f>
        <v>0.6</v>
      </c>
      <c r="N48" s="107">
        <f>VLOOKUP($A48,'MG Universe'!$A$2:$R$9994,14)</f>
        <v>1.01</v>
      </c>
      <c r="O48" s="22">
        <f>VLOOKUP($A48,'MG Universe'!$A$2:$R$9994,15)</f>
        <v>-47.76</v>
      </c>
      <c r="P48" s="23">
        <f>VLOOKUP($A48,'MG Universe'!$A$2:$R$9994,16)</f>
        <v>0.1431</v>
      </c>
      <c r="Q48" s="109">
        <f>VLOOKUP($A48,'MG Universe'!$A$2:$R$9994,17)</f>
        <v>0</v>
      </c>
      <c r="R48" s="22">
        <f>VLOOKUP($A48,'MG Universe'!$A$2:$R$9994,18)</f>
        <v>0</v>
      </c>
    </row>
    <row r="49" spans="1:18" x14ac:dyDescent="0.55000000000000004">
      <c r="A49" s="18" t="s">
        <v>647</v>
      </c>
      <c r="B49" s="19" t="str">
        <f>VLOOKUP($A49,'MG Universe'!$A$2:$R$9994,2)</f>
        <v>Broadcom Ltd</v>
      </c>
      <c r="C49" s="19" t="str">
        <f>VLOOKUP($A49,'MG Universe'!$A$2:$R$9994,3)</f>
        <v>C+</v>
      </c>
      <c r="D49" s="19" t="str">
        <f>VLOOKUP($A49,'MG Universe'!$A$2:$R$9994,4)</f>
        <v>E</v>
      </c>
      <c r="E49" s="19" t="str">
        <f>VLOOKUP($A49,'MG Universe'!$A$2:$R$9994,5)</f>
        <v>U</v>
      </c>
      <c r="F49" s="20" t="str">
        <f>VLOOKUP($A49,'MG Universe'!$A$2:$R$9994,6)</f>
        <v>EU</v>
      </c>
      <c r="G49" s="103">
        <f>VLOOKUP($A49,'MG Universe'!$A$2:$R$9994,7)</f>
        <v>42376</v>
      </c>
      <c r="H49" s="22">
        <f>VLOOKUP($A49,'MG Universe'!$A$2:$R$9994,8)</f>
        <v>193.91</v>
      </c>
      <c r="I49" s="22">
        <f>VLOOKUP($A49,'MG Universe'!$A$2:$R$9994,9)</f>
        <v>136.97</v>
      </c>
      <c r="J49" s="23">
        <f>VLOOKUP($A49,'MG Universe'!$A$2:$R$9994,10)</f>
        <v>0.70640000000000003</v>
      </c>
      <c r="K49" s="105">
        <f>VLOOKUP($A49,'MG Universe'!$A$2:$R$9994,11)</f>
        <v>27.18</v>
      </c>
      <c r="L49" s="23">
        <f>VLOOKUP($A49,'MG Universe'!$A$2:$R$9994,12)</f>
        <v>1.2800000000000001E-2</v>
      </c>
      <c r="M49" s="106">
        <f>VLOOKUP($A49,'MG Universe'!$A$2:$R$9994,13)</f>
        <v>0.9</v>
      </c>
      <c r="N49" s="107">
        <f>VLOOKUP($A49,'MG Universe'!$A$2:$R$9994,14)</f>
        <v>3.37</v>
      </c>
      <c r="O49" s="22">
        <f>VLOOKUP($A49,'MG Universe'!$A$2:$R$9994,15)</f>
        <v>-7.62</v>
      </c>
      <c r="P49" s="23">
        <f>VLOOKUP($A49,'MG Universe'!$A$2:$R$9994,16)</f>
        <v>9.3399999999999997E-2</v>
      </c>
      <c r="Q49" s="109">
        <f>VLOOKUP($A49,'MG Universe'!$A$2:$R$9994,17)</f>
        <v>6</v>
      </c>
      <c r="R49" s="22">
        <f>VLOOKUP($A49,'MG Universe'!$A$2:$R$9994,18)</f>
        <v>59.78</v>
      </c>
    </row>
    <row r="50" spans="1:18" x14ac:dyDescent="0.55000000000000004">
      <c r="A50" s="18" t="s">
        <v>490</v>
      </c>
      <c r="B50" s="19" t="str">
        <f>VLOOKUP($A50,'MG Universe'!$A$2:$R$9994,2)</f>
        <v>Avery Dennison Corp</v>
      </c>
      <c r="C50" s="19" t="str">
        <f>VLOOKUP($A50,'MG Universe'!$A$2:$R$9994,3)</f>
        <v>C-</v>
      </c>
      <c r="D50" s="19" t="str">
        <f>VLOOKUP($A50,'MG Universe'!$A$2:$R$9994,4)</f>
        <v>S</v>
      </c>
      <c r="E50" s="19" t="str">
        <f>VLOOKUP($A50,'MG Universe'!$A$2:$R$9994,5)</f>
        <v>U</v>
      </c>
      <c r="F50" s="20" t="str">
        <f>VLOOKUP($A50,'MG Universe'!$A$2:$R$9994,6)</f>
        <v>SU</v>
      </c>
      <c r="G50" s="103">
        <f>VLOOKUP($A50,'MG Universe'!$A$2:$R$9994,7)</f>
        <v>42027</v>
      </c>
      <c r="H50" s="22">
        <f>VLOOKUP($A50,'MG Universe'!$A$2:$R$9994,8)</f>
        <v>94.61</v>
      </c>
      <c r="I50" s="22">
        <f>VLOOKUP($A50,'MG Universe'!$A$2:$R$9994,9)</f>
        <v>67.45</v>
      </c>
      <c r="J50" s="23">
        <f>VLOOKUP($A50,'MG Universe'!$A$2:$R$9994,10)</f>
        <v>0.71289999999999998</v>
      </c>
      <c r="K50" s="105">
        <f>VLOOKUP($A50,'MG Universe'!$A$2:$R$9994,11)</f>
        <v>27.42</v>
      </c>
      <c r="L50" s="23">
        <f>VLOOKUP($A50,'MG Universe'!$A$2:$R$9994,12)</f>
        <v>2.1899999999999999E-2</v>
      </c>
      <c r="M50" s="106">
        <f>VLOOKUP($A50,'MG Universe'!$A$2:$R$9994,13)</f>
        <v>1.1000000000000001</v>
      </c>
      <c r="N50" s="107">
        <f>VLOOKUP($A50,'MG Universe'!$A$2:$R$9994,14)</f>
        <v>1.27</v>
      </c>
      <c r="O50" s="22">
        <f>VLOOKUP($A50,'MG Universe'!$A$2:$R$9994,15)</f>
        <v>-11.73</v>
      </c>
      <c r="P50" s="23">
        <f>VLOOKUP($A50,'MG Universe'!$A$2:$R$9994,16)</f>
        <v>9.4600000000000004E-2</v>
      </c>
      <c r="Q50" s="109">
        <f>VLOOKUP($A50,'MG Universe'!$A$2:$R$9994,17)</f>
        <v>0</v>
      </c>
      <c r="R50" s="22">
        <f>VLOOKUP($A50,'MG Universe'!$A$2:$R$9994,18)</f>
        <v>0</v>
      </c>
    </row>
    <row r="51" spans="1:18" x14ac:dyDescent="0.55000000000000004">
      <c r="A51" s="18" t="s">
        <v>151</v>
      </c>
      <c r="B51" s="19" t="str">
        <f>VLOOKUP($A51,'MG Universe'!$A$2:$R$9994,2)</f>
        <v>American Express Company</v>
      </c>
      <c r="C51" s="19" t="str">
        <f>VLOOKUP($A51,'MG Universe'!$A$2:$R$9994,3)</f>
        <v>B</v>
      </c>
      <c r="D51" s="19" t="str">
        <f>VLOOKUP($A51,'MG Universe'!$A$2:$R$9994,4)</f>
        <v>E</v>
      </c>
      <c r="E51" s="19" t="str">
        <f>VLOOKUP($A51,'MG Universe'!$A$2:$R$9994,5)</f>
        <v>U</v>
      </c>
      <c r="F51" s="20" t="str">
        <f>VLOOKUP($A51,'MG Universe'!$A$2:$R$9994,6)</f>
        <v>EU</v>
      </c>
      <c r="G51" s="103">
        <f>VLOOKUP($A51,'MG Universe'!$A$2:$R$9994,7)</f>
        <v>42306</v>
      </c>
      <c r="H51" s="22">
        <f>VLOOKUP($A51,'MG Universe'!$A$2:$R$9994,8)</f>
        <v>103.25</v>
      </c>
      <c r="I51" s="22">
        <f>VLOOKUP($A51,'MG Universe'!$A$2:$R$9994,9)</f>
        <v>57.1</v>
      </c>
      <c r="J51" s="23">
        <f>VLOOKUP($A51,'MG Universe'!$A$2:$R$9994,10)</f>
        <v>0.55300000000000005</v>
      </c>
      <c r="K51" s="105">
        <f>VLOOKUP($A51,'MG Universe'!$A$2:$R$9994,11)</f>
        <v>12.49</v>
      </c>
      <c r="L51" s="23">
        <f>VLOOKUP($A51,'MG Universe'!$A$2:$R$9994,12)</f>
        <v>2.0299999999999999E-2</v>
      </c>
      <c r="M51" s="106">
        <f>VLOOKUP($A51,'MG Universe'!$A$2:$R$9994,13)</f>
        <v>1.1000000000000001</v>
      </c>
      <c r="N51" s="107" t="str">
        <f>VLOOKUP($A51,'MG Universe'!$A$2:$R$9994,14)</f>
        <v>N/A</v>
      </c>
      <c r="O51" s="22" t="str">
        <f>VLOOKUP($A51,'MG Universe'!$A$2:$R$9994,15)</f>
        <v>N/A</v>
      </c>
      <c r="P51" s="23">
        <f>VLOOKUP($A51,'MG Universe'!$A$2:$R$9994,16)</f>
        <v>0.02</v>
      </c>
      <c r="Q51" s="109">
        <f>VLOOKUP($A51,'MG Universe'!$A$2:$R$9994,17)</f>
        <v>2</v>
      </c>
      <c r="R51" s="22">
        <f>VLOOKUP($A51,'MG Universe'!$A$2:$R$9994,18)</f>
        <v>43.17</v>
      </c>
    </row>
    <row r="52" spans="1:18" x14ac:dyDescent="0.55000000000000004">
      <c r="A52" s="18" t="s">
        <v>848</v>
      </c>
      <c r="B52" s="19" t="str">
        <f>VLOOKUP($A52,'MG Universe'!$A$2:$R$9994,2)</f>
        <v>AutoZone, Inc.</v>
      </c>
      <c r="C52" s="19" t="str">
        <f>VLOOKUP($A52,'MG Universe'!$A$2:$R$9994,3)</f>
        <v>D+</v>
      </c>
      <c r="D52" s="19" t="str">
        <f>VLOOKUP($A52,'MG Universe'!$A$2:$R$9994,4)</f>
        <v>S</v>
      </c>
      <c r="E52" s="19" t="str">
        <f>VLOOKUP($A52,'MG Universe'!$A$2:$R$9994,5)</f>
        <v>U</v>
      </c>
      <c r="F52" s="20" t="str">
        <f>VLOOKUP($A52,'MG Universe'!$A$2:$R$9994,6)</f>
        <v>SU</v>
      </c>
      <c r="G52" s="103">
        <f>VLOOKUP($A52,'MG Universe'!$A$2:$R$9994,7)</f>
        <v>42008</v>
      </c>
      <c r="H52" s="22">
        <f>VLOOKUP($A52,'MG Universe'!$A$2:$R$9994,8)</f>
        <v>1153.92</v>
      </c>
      <c r="I52" s="22">
        <f>VLOOKUP($A52,'MG Universe'!$A$2:$R$9994,9)</f>
        <v>780.89</v>
      </c>
      <c r="J52" s="23">
        <f>VLOOKUP($A52,'MG Universe'!$A$2:$R$9994,10)</f>
        <v>0.67669999999999997</v>
      </c>
      <c r="K52" s="105">
        <f>VLOOKUP($A52,'MG Universe'!$A$2:$R$9994,11)</f>
        <v>26.06</v>
      </c>
      <c r="L52" s="23" t="str">
        <f>VLOOKUP($A52,'MG Universe'!$A$2:$R$9994,12)</f>
        <v>N/A</v>
      </c>
      <c r="M52" s="106">
        <f>VLOOKUP($A52,'MG Universe'!$A$2:$R$9994,13)</f>
        <v>0.4</v>
      </c>
      <c r="N52" s="107">
        <f>VLOOKUP($A52,'MG Universe'!$A$2:$R$9994,14)</f>
        <v>0.73</v>
      </c>
      <c r="O52" s="22">
        <f>VLOOKUP($A52,'MG Universe'!$A$2:$R$9994,15)</f>
        <v>-172.93</v>
      </c>
      <c r="P52" s="23">
        <f>VLOOKUP($A52,'MG Universe'!$A$2:$R$9994,16)</f>
        <v>8.7800000000000003E-2</v>
      </c>
      <c r="Q52" s="109">
        <f>VLOOKUP($A52,'MG Universe'!$A$2:$R$9994,17)</f>
        <v>0</v>
      </c>
      <c r="R52" s="22">
        <f>VLOOKUP($A52,'MG Universe'!$A$2:$R$9994,18)</f>
        <v>0</v>
      </c>
    </row>
    <row r="53" spans="1:18" x14ac:dyDescent="0.55000000000000004">
      <c r="A53" s="18" t="s">
        <v>223</v>
      </c>
      <c r="B53" s="19" t="str">
        <f>VLOOKUP($A53,'MG Universe'!$A$2:$R$9994,2)</f>
        <v>Boeing Co</v>
      </c>
      <c r="C53" s="19" t="str">
        <f>VLOOKUP($A53,'MG Universe'!$A$2:$R$9994,3)</f>
        <v>B-</v>
      </c>
      <c r="D53" s="19" t="str">
        <f>VLOOKUP($A53,'MG Universe'!$A$2:$R$9994,4)</f>
        <v>E</v>
      </c>
      <c r="E53" s="19" t="str">
        <f>VLOOKUP($A53,'MG Universe'!$A$2:$R$9994,5)</f>
        <v>U</v>
      </c>
      <c r="F53" s="20" t="str">
        <f>VLOOKUP($A53,'MG Universe'!$A$2:$R$9994,6)</f>
        <v>EU</v>
      </c>
      <c r="G53" s="103">
        <f>VLOOKUP($A53,'MG Universe'!$A$2:$R$9994,7)</f>
        <v>42332</v>
      </c>
      <c r="H53" s="22">
        <f>VLOOKUP($A53,'MG Universe'!$A$2:$R$9994,8)</f>
        <v>188.84</v>
      </c>
      <c r="I53" s="22">
        <f>VLOOKUP($A53,'MG Universe'!$A$2:$R$9994,9)</f>
        <v>119.58</v>
      </c>
      <c r="J53" s="23">
        <f>VLOOKUP($A53,'MG Universe'!$A$2:$R$9994,10)</f>
        <v>0.63319999999999999</v>
      </c>
      <c r="K53" s="105">
        <f>VLOOKUP($A53,'MG Universe'!$A$2:$R$9994,11)</f>
        <v>17.48</v>
      </c>
      <c r="L53" s="23">
        <f>VLOOKUP($A53,'MG Universe'!$A$2:$R$9994,12)</f>
        <v>3.6499999999999998E-2</v>
      </c>
      <c r="M53" s="106">
        <f>VLOOKUP($A53,'MG Universe'!$A$2:$R$9994,13)</f>
        <v>1.1000000000000001</v>
      </c>
      <c r="N53" s="107">
        <f>VLOOKUP($A53,'MG Universe'!$A$2:$R$9994,14)</f>
        <v>1.17</v>
      </c>
      <c r="O53" s="22">
        <f>VLOOKUP($A53,'MG Universe'!$A$2:$R$9994,15)</f>
        <v>-35.89</v>
      </c>
      <c r="P53" s="23">
        <f>VLOOKUP($A53,'MG Universe'!$A$2:$R$9994,16)</f>
        <v>4.4900000000000002E-2</v>
      </c>
      <c r="Q53" s="109">
        <f>VLOOKUP($A53,'MG Universe'!$A$2:$R$9994,17)</f>
        <v>4</v>
      </c>
      <c r="R53" s="22">
        <f>VLOOKUP($A53,'MG Universe'!$A$2:$R$9994,18)</f>
        <v>42.32</v>
      </c>
    </row>
    <row r="54" spans="1:18" x14ac:dyDescent="0.55000000000000004">
      <c r="A54" s="18" t="s">
        <v>1047</v>
      </c>
      <c r="B54" s="19" t="str">
        <f>VLOOKUP($A54,'MG Universe'!$A$2:$R$9994,2)</f>
        <v>Bank of America Corp</v>
      </c>
      <c r="C54" s="19" t="str">
        <f>VLOOKUP($A54,'MG Universe'!$A$2:$R$9994,3)</f>
        <v>F</v>
      </c>
      <c r="D54" s="19" t="str">
        <f>VLOOKUP($A54,'MG Universe'!$A$2:$R$9994,4)</f>
        <v>S</v>
      </c>
      <c r="E54" s="19" t="str">
        <f>VLOOKUP($A54,'MG Universe'!$A$2:$R$9994,5)</f>
        <v>O</v>
      </c>
      <c r="F54" s="20" t="str">
        <f>VLOOKUP($A54,'MG Universe'!$A$2:$R$9994,6)</f>
        <v>SO</v>
      </c>
      <c r="G54" s="103">
        <f>VLOOKUP($A54,'MG Universe'!$A$2:$R$9994,7)</f>
        <v>42028</v>
      </c>
      <c r="H54" s="22">
        <f>VLOOKUP($A54,'MG Universe'!$A$2:$R$9994,8)</f>
        <v>0</v>
      </c>
      <c r="I54" s="22">
        <f>VLOOKUP($A54,'MG Universe'!$A$2:$R$9994,9)</f>
        <v>13.4</v>
      </c>
      <c r="J54" s="23" t="str">
        <f>VLOOKUP($A54,'MG Universe'!$A$2:$R$9994,10)</f>
        <v>N/A</v>
      </c>
      <c r="K54" s="105">
        <f>VLOOKUP($A54,'MG Universe'!$A$2:$R$9994,11)</f>
        <v>34.36</v>
      </c>
      <c r="L54" s="23">
        <f>VLOOKUP($A54,'MG Universe'!$A$2:$R$9994,12)</f>
        <v>1.49E-2</v>
      </c>
      <c r="M54" s="106">
        <f>VLOOKUP($A54,'MG Universe'!$A$2:$R$9994,13)</f>
        <v>1.8</v>
      </c>
      <c r="N54" s="107" t="str">
        <f>VLOOKUP($A54,'MG Universe'!$A$2:$R$9994,14)</f>
        <v>N/A</v>
      </c>
      <c r="O54" s="22" t="str">
        <f>VLOOKUP($A54,'MG Universe'!$A$2:$R$9994,15)</f>
        <v>N/A</v>
      </c>
      <c r="P54" s="23">
        <f>VLOOKUP($A54,'MG Universe'!$A$2:$R$9994,16)</f>
        <v>0.1293</v>
      </c>
      <c r="Q54" s="109">
        <f>VLOOKUP($A54,'MG Universe'!$A$2:$R$9994,17)</f>
        <v>0</v>
      </c>
      <c r="R54" s="22">
        <f>VLOOKUP($A54,'MG Universe'!$A$2:$R$9994,18)</f>
        <v>0</v>
      </c>
    </row>
    <row r="55" spans="1:18" x14ac:dyDescent="0.55000000000000004">
      <c r="A55" s="18" t="s">
        <v>363</v>
      </c>
      <c r="B55" s="19" t="str">
        <f>VLOOKUP($A55,'MG Universe'!$A$2:$R$9994,2)</f>
        <v>Baxter International Inc</v>
      </c>
      <c r="C55" s="19" t="str">
        <f>VLOOKUP($A55,'MG Universe'!$A$2:$R$9994,3)</f>
        <v>C</v>
      </c>
      <c r="D55" s="19" t="str">
        <f>VLOOKUP($A55,'MG Universe'!$A$2:$R$9994,4)</f>
        <v>E</v>
      </c>
      <c r="E55" s="19" t="str">
        <f>VLOOKUP($A55,'MG Universe'!$A$2:$R$9994,5)</f>
        <v>O</v>
      </c>
      <c r="F55" s="20" t="str">
        <f>VLOOKUP($A55,'MG Universe'!$A$2:$R$9994,6)</f>
        <v>EO</v>
      </c>
      <c r="G55" s="103">
        <f>VLOOKUP($A55,'MG Universe'!$A$2:$R$9994,7)</f>
        <v>42409</v>
      </c>
      <c r="H55" s="22">
        <f>VLOOKUP($A55,'MG Universe'!$A$2:$R$9994,8)</f>
        <v>30.34</v>
      </c>
      <c r="I55" s="22">
        <f>VLOOKUP($A55,'MG Universe'!$A$2:$R$9994,9)</f>
        <v>39.71</v>
      </c>
      <c r="J55" s="23">
        <f>VLOOKUP($A55,'MG Universe'!$A$2:$R$9994,10)</f>
        <v>1.3088</v>
      </c>
      <c r="K55" s="105">
        <f>VLOOKUP($A55,'MG Universe'!$A$2:$R$9994,11)</f>
        <v>12</v>
      </c>
      <c r="L55" s="23">
        <f>VLOOKUP($A55,'MG Universe'!$A$2:$R$9994,12)</f>
        <v>1.1599999999999999E-2</v>
      </c>
      <c r="M55" s="106">
        <f>VLOOKUP($A55,'MG Universe'!$A$2:$R$9994,13)</f>
        <v>0.6</v>
      </c>
      <c r="N55" s="107">
        <f>VLOOKUP($A55,'MG Universe'!$A$2:$R$9994,14)</f>
        <v>1.86</v>
      </c>
      <c r="O55" s="22">
        <f>VLOOKUP($A55,'MG Universe'!$A$2:$R$9994,15)</f>
        <v>-2.2000000000000002</v>
      </c>
      <c r="P55" s="23">
        <f>VLOOKUP($A55,'MG Universe'!$A$2:$R$9994,16)</f>
        <v>1.7500000000000002E-2</v>
      </c>
      <c r="Q55" s="109">
        <f>VLOOKUP($A55,'MG Universe'!$A$2:$R$9994,17)</f>
        <v>0</v>
      </c>
      <c r="R55" s="22">
        <f>VLOOKUP($A55,'MG Universe'!$A$2:$R$9994,18)</f>
        <v>23.06</v>
      </c>
    </row>
    <row r="56" spans="1:18" x14ac:dyDescent="0.55000000000000004">
      <c r="A56" s="18" t="s">
        <v>225</v>
      </c>
      <c r="B56" s="19" t="str">
        <f>VLOOKUP($A56,'MG Universe'!$A$2:$R$9994,2)</f>
        <v>Bed Bath &amp; Beyond Inc.</v>
      </c>
      <c r="C56" s="19" t="str">
        <f>VLOOKUP($A56,'MG Universe'!$A$2:$R$9994,3)</f>
        <v>B-</v>
      </c>
      <c r="D56" s="19" t="str">
        <f>VLOOKUP($A56,'MG Universe'!$A$2:$R$9994,4)</f>
        <v>E</v>
      </c>
      <c r="E56" s="19" t="str">
        <f>VLOOKUP($A56,'MG Universe'!$A$2:$R$9994,5)</f>
        <v>U</v>
      </c>
      <c r="F56" s="20" t="str">
        <f>VLOOKUP($A56,'MG Universe'!$A$2:$R$9994,6)</f>
        <v>EU</v>
      </c>
      <c r="G56" s="103">
        <f>VLOOKUP($A56,'MG Universe'!$A$2:$R$9994,7)</f>
        <v>42332</v>
      </c>
      <c r="H56" s="22">
        <f>VLOOKUP($A56,'MG Universe'!$A$2:$R$9994,8)</f>
        <v>134.12</v>
      </c>
      <c r="I56" s="22">
        <f>VLOOKUP($A56,'MG Universe'!$A$2:$R$9994,9)</f>
        <v>49.12</v>
      </c>
      <c r="J56" s="23">
        <f>VLOOKUP($A56,'MG Universe'!$A$2:$R$9994,10)</f>
        <v>0.36620000000000003</v>
      </c>
      <c r="K56" s="105">
        <f>VLOOKUP($A56,'MG Universe'!$A$2:$R$9994,11)</f>
        <v>10.07</v>
      </c>
      <c r="L56" s="23" t="str">
        <f>VLOOKUP($A56,'MG Universe'!$A$2:$R$9994,12)</f>
        <v>N/A</v>
      </c>
      <c r="M56" s="106">
        <f>VLOOKUP($A56,'MG Universe'!$A$2:$R$9994,13)</f>
        <v>0.7</v>
      </c>
      <c r="N56" s="107">
        <f>VLOOKUP($A56,'MG Universe'!$A$2:$R$9994,14)</f>
        <v>2</v>
      </c>
      <c r="O56" s="22">
        <f>VLOOKUP($A56,'MG Universe'!$A$2:$R$9994,15)</f>
        <v>-0.51</v>
      </c>
      <c r="P56" s="23">
        <f>VLOOKUP($A56,'MG Universe'!$A$2:$R$9994,16)</f>
        <v>7.7999999999999996E-3</v>
      </c>
      <c r="Q56" s="109">
        <f>VLOOKUP($A56,'MG Universe'!$A$2:$R$9994,17)</f>
        <v>0</v>
      </c>
      <c r="R56" s="22">
        <f>VLOOKUP($A56,'MG Universe'!$A$2:$R$9994,18)</f>
        <v>41.94</v>
      </c>
    </row>
    <row r="57" spans="1:18" x14ac:dyDescent="0.55000000000000004">
      <c r="A57" s="18" t="s">
        <v>88</v>
      </c>
      <c r="B57" s="19" t="str">
        <f>VLOOKUP($A57,'MG Universe'!$A$2:$R$9994,2)</f>
        <v>BB&amp;T Corporation</v>
      </c>
      <c r="C57" s="19" t="str">
        <f>VLOOKUP($A57,'MG Universe'!$A$2:$R$9994,3)</f>
        <v>A-</v>
      </c>
      <c r="D57" s="19" t="str">
        <f>VLOOKUP($A57,'MG Universe'!$A$2:$R$9994,4)</f>
        <v>E</v>
      </c>
      <c r="E57" s="19" t="str">
        <f>VLOOKUP($A57,'MG Universe'!$A$2:$R$9994,5)</f>
        <v>U</v>
      </c>
      <c r="F57" s="20" t="str">
        <f>VLOOKUP($A57,'MG Universe'!$A$2:$R$9994,6)</f>
        <v>EU</v>
      </c>
      <c r="G57" s="103">
        <f>VLOOKUP($A57,'MG Universe'!$A$2:$R$9994,7)</f>
        <v>42324</v>
      </c>
      <c r="H57" s="22">
        <f>VLOOKUP($A57,'MG Universe'!$A$2:$R$9994,8)</f>
        <v>55.92</v>
      </c>
      <c r="I57" s="22">
        <f>VLOOKUP($A57,'MG Universe'!$A$2:$R$9994,9)</f>
        <v>33.81</v>
      </c>
      <c r="J57" s="23">
        <f>VLOOKUP($A57,'MG Universe'!$A$2:$R$9994,10)</f>
        <v>0.60460000000000003</v>
      </c>
      <c r="K57" s="105">
        <f>VLOOKUP($A57,'MG Universe'!$A$2:$R$9994,11)</f>
        <v>13.47</v>
      </c>
      <c r="L57" s="23">
        <f>VLOOKUP($A57,'MG Universe'!$A$2:$R$9994,12)</f>
        <v>3.1899999999999998E-2</v>
      </c>
      <c r="M57" s="106">
        <f>VLOOKUP($A57,'MG Universe'!$A$2:$R$9994,13)</f>
        <v>1.1000000000000001</v>
      </c>
      <c r="N57" s="107" t="str">
        <f>VLOOKUP($A57,'MG Universe'!$A$2:$R$9994,14)</f>
        <v>N/A</v>
      </c>
      <c r="O57" s="22" t="str">
        <f>VLOOKUP($A57,'MG Universe'!$A$2:$R$9994,15)</f>
        <v>N/A</v>
      </c>
      <c r="P57" s="23">
        <f>VLOOKUP($A57,'MG Universe'!$A$2:$R$9994,16)</f>
        <v>2.4899999999999999E-2</v>
      </c>
      <c r="Q57" s="109">
        <f>VLOOKUP($A57,'MG Universe'!$A$2:$R$9994,17)</f>
        <v>5</v>
      </c>
      <c r="R57" s="22">
        <f>VLOOKUP($A57,'MG Universe'!$A$2:$R$9994,18)</f>
        <v>42.72</v>
      </c>
    </row>
    <row r="58" spans="1:18" x14ac:dyDescent="0.55000000000000004">
      <c r="A58" s="18" t="s">
        <v>850</v>
      </c>
      <c r="B58" s="19" t="str">
        <f>VLOOKUP($A58,'MG Universe'!$A$2:$R$9994,2)</f>
        <v>Best Buy Co Inc</v>
      </c>
      <c r="C58" s="19" t="str">
        <f>VLOOKUP($A58,'MG Universe'!$A$2:$R$9994,3)</f>
        <v>D+</v>
      </c>
      <c r="D58" s="19" t="str">
        <f>VLOOKUP($A58,'MG Universe'!$A$2:$R$9994,4)</f>
        <v>S</v>
      </c>
      <c r="E58" s="19" t="str">
        <f>VLOOKUP($A58,'MG Universe'!$A$2:$R$9994,5)</f>
        <v>O</v>
      </c>
      <c r="F58" s="20" t="str">
        <f>VLOOKUP($A58,'MG Universe'!$A$2:$R$9994,6)</f>
        <v>SO</v>
      </c>
      <c r="G58" s="103">
        <f>VLOOKUP($A58,'MG Universe'!$A$2:$R$9994,7)</f>
        <v>42151</v>
      </c>
      <c r="H58" s="22">
        <f>VLOOKUP($A58,'MG Universe'!$A$2:$R$9994,8)</f>
        <v>0</v>
      </c>
      <c r="I58" s="22">
        <f>VLOOKUP($A58,'MG Universe'!$A$2:$R$9994,9)</f>
        <v>33.1</v>
      </c>
      <c r="J58" s="23" t="str">
        <f>VLOOKUP($A58,'MG Universe'!$A$2:$R$9994,10)</f>
        <v>N/A</v>
      </c>
      <c r="K58" s="105">
        <f>VLOOKUP($A58,'MG Universe'!$A$2:$R$9994,11)</f>
        <v>29.29</v>
      </c>
      <c r="L58" s="23">
        <f>VLOOKUP($A58,'MG Universe'!$A$2:$R$9994,12)</f>
        <v>3.3799999999999997E-2</v>
      </c>
      <c r="M58" s="106">
        <f>VLOOKUP($A58,'MG Universe'!$A$2:$R$9994,13)</f>
        <v>1.6</v>
      </c>
      <c r="N58" s="107">
        <f>VLOOKUP($A58,'MG Universe'!$A$2:$R$9994,14)</f>
        <v>1.51</v>
      </c>
      <c r="O58" s="22">
        <f>VLOOKUP($A58,'MG Universe'!$A$2:$R$9994,15)</f>
        <v>4.1100000000000003</v>
      </c>
      <c r="P58" s="23">
        <f>VLOOKUP($A58,'MG Universe'!$A$2:$R$9994,16)</f>
        <v>0.104</v>
      </c>
      <c r="Q58" s="109">
        <f>VLOOKUP($A58,'MG Universe'!$A$2:$R$9994,17)</f>
        <v>0</v>
      </c>
      <c r="R58" s="22">
        <f>VLOOKUP($A58,'MG Universe'!$A$2:$R$9994,18)</f>
        <v>0</v>
      </c>
    </row>
    <row r="59" spans="1:18" x14ac:dyDescent="0.55000000000000004">
      <c r="A59" s="18" t="s">
        <v>649</v>
      </c>
      <c r="B59" s="19" t="str">
        <f>VLOOKUP($A59,'MG Universe'!$A$2:$R$9994,2)</f>
        <v>C R Bard Inc</v>
      </c>
      <c r="C59" s="19" t="str">
        <f>VLOOKUP($A59,'MG Universe'!$A$2:$R$9994,3)</f>
        <v>C+</v>
      </c>
      <c r="D59" s="19" t="str">
        <f>VLOOKUP($A59,'MG Universe'!$A$2:$R$9994,4)</f>
        <v>E</v>
      </c>
      <c r="E59" s="19" t="str">
        <f>VLOOKUP($A59,'MG Universe'!$A$2:$R$9994,5)</f>
        <v>O</v>
      </c>
      <c r="F59" s="20" t="str">
        <f>VLOOKUP($A59,'MG Universe'!$A$2:$R$9994,6)</f>
        <v>EO</v>
      </c>
      <c r="G59" s="103">
        <f>VLOOKUP($A59,'MG Universe'!$A$2:$R$9994,7)</f>
        <v>42417</v>
      </c>
      <c r="H59" s="22">
        <f>VLOOKUP($A59,'MG Universe'!$A$2:$R$9994,8)</f>
        <v>89.87</v>
      </c>
      <c r="I59" s="22">
        <f>VLOOKUP($A59,'MG Universe'!$A$2:$R$9994,9)</f>
        <v>193.02</v>
      </c>
      <c r="J59" s="23">
        <f>VLOOKUP($A59,'MG Universe'!$A$2:$R$9994,10)</f>
        <v>2.1478000000000002</v>
      </c>
      <c r="K59" s="105">
        <f>VLOOKUP($A59,'MG Universe'!$A$2:$R$9994,11)</f>
        <v>31.96</v>
      </c>
      <c r="L59" s="23">
        <f>VLOOKUP($A59,'MG Universe'!$A$2:$R$9994,12)</f>
        <v>5.0000000000000001E-3</v>
      </c>
      <c r="M59" s="106">
        <f>VLOOKUP($A59,'MG Universe'!$A$2:$R$9994,13)</f>
        <v>0.7</v>
      </c>
      <c r="N59" s="107">
        <f>VLOOKUP($A59,'MG Universe'!$A$2:$R$9994,14)</f>
        <v>1.66</v>
      </c>
      <c r="O59" s="22">
        <f>VLOOKUP($A59,'MG Universe'!$A$2:$R$9994,15)</f>
        <v>-18.489999999999998</v>
      </c>
      <c r="P59" s="23">
        <f>VLOOKUP($A59,'MG Universe'!$A$2:$R$9994,16)</f>
        <v>0.1173</v>
      </c>
      <c r="Q59" s="109">
        <f>VLOOKUP($A59,'MG Universe'!$A$2:$R$9994,17)</f>
        <v>20</v>
      </c>
      <c r="R59" s="22">
        <f>VLOOKUP($A59,'MG Universe'!$A$2:$R$9994,18)</f>
        <v>66.14</v>
      </c>
    </row>
    <row r="60" spans="1:18" x14ac:dyDescent="0.55000000000000004">
      <c r="A60" s="18" t="s">
        <v>852</v>
      </c>
      <c r="B60" s="19" t="str">
        <f>VLOOKUP($A60,'MG Universe'!$A$2:$R$9994,2)</f>
        <v>Becton Dickinson and Co</v>
      </c>
      <c r="C60" s="19" t="str">
        <f>VLOOKUP($A60,'MG Universe'!$A$2:$R$9994,3)</f>
        <v>D+</v>
      </c>
      <c r="D60" s="19" t="str">
        <f>VLOOKUP($A60,'MG Universe'!$A$2:$R$9994,4)</f>
        <v>S</v>
      </c>
      <c r="E60" s="19" t="str">
        <f>VLOOKUP($A60,'MG Universe'!$A$2:$R$9994,5)</f>
        <v>O</v>
      </c>
      <c r="F60" s="20" t="str">
        <f>VLOOKUP($A60,'MG Universe'!$A$2:$R$9994,6)</f>
        <v>SO</v>
      </c>
      <c r="G60" s="103">
        <f>VLOOKUP($A60,'MG Universe'!$A$2:$R$9994,7)</f>
        <v>42235</v>
      </c>
      <c r="H60" s="22">
        <f>VLOOKUP($A60,'MG Universe'!$A$2:$R$9994,8)</f>
        <v>57.33</v>
      </c>
      <c r="I60" s="22">
        <f>VLOOKUP($A60,'MG Universe'!$A$2:$R$9994,9)</f>
        <v>150.72</v>
      </c>
      <c r="J60" s="23">
        <f>VLOOKUP($A60,'MG Universe'!$A$2:$R$9994,10)</f>
        <v>2.629</v>
      </c>
      <c r="K60" s="105">
        <f>VLOOKUP($A60,'MG Universe'!$A$2:$R$9994,11)</f>
        <v>27.4</v>
      </c>
      <c r="L60" s="23">
        <f>VLOOKUP($A60,'MG Universe'!$A$2:$R$9994,12)</f>
        <v>1.7500000000000002E-2</v>
      </c>
      <c r="M60" s="106">
        <f>VLOOKUP($A60,'MG Universe'!$A$2:$R$9994,13)</f>
        <v>1</v>
      </c>
      <c r="N60" s="107">
        <f>VLOOKUP($A60,'MG Universe'!$A$2:$R$9994,14)</f>
        <v>1.4</v>
      </c>
      <c r="O60" s="22">
        <f>VLOOKUP($A60,'MG Universe'!$A$2:$R$9994,15)</f>
        <v>-62.92</v>
      </c>
      <c r="P60" s="23">
        <f>VLOOKUP($A60,'MG Universe'!$A$2:$R$9994,16)</f>
        <v>9.4500000000000001E-2</v>
      </c>
      <c r="Q60" s="109">
        <f>VLOOKUP($A60,'MG Universe'!$A$2:$R$9994,17)</f>
        <v>20</v>
      </c>
      <c r="R60" s="22">
        <f>VLOOKUP($A60,'MG Universe'!$A$2:$R$9994,18)</f>
        <v>0</v>
      </c>
    </row>
    <row r="61" spans="1:18" x14ac:dyDescent="0.55000000000000004">
      <c r="A61" s="18" t="s">
        <v>90</v>
      </c>
      <c r="B61" s="19" t="str">
        <f>VLOOKUP($A61,'MG Universe'!$A$2:$R$9994,2)</f>
        <v>Franklin Resources, Inc.</v>
      </c>
      <c r="C61" s="19" t="str">
        <f>VLOOKUP($A61,'MG Universe'!$A$2:$R$9994,3)</f>
        <v>A-</v>
      </c>
      <c r="D61" s="19" t="str">
        <f>VLOOKUP($A61,'MG Universe'!$A$2:$R$9994,4)</f>
        <v>D</v>
      </c>
      <c r="E61" s="19" t="str">
        <f>VLOOKUP($A61,'MG Universe'!$A$2:$R$9994,5)</f>
        <v>U</v>
      </c>
      <c r="F61" s="20" t="str">
        <f>VLOOKUP($A61,'MG Universe'!$A$2:$R$9994,6)</f>
        <v>DU</v>
      </c>
      <c r="G61" s="103">
        <f>VLOOKUP($A61,'MG Universe'!$A$2:$R$9994,7)</f>
        <v>42397</v>
      </c>
      <c r="H61" s="22">
        <f>VLOOKUP($A61,'MG Universe'!$A$2:$R$9994,8)</f>
        <v>52.58</v>
      </c>
      <c r="I61" s="22">
        <f>VLOOKUP($A61,'MG Universe'!$A$2:$R$9994,9)</f>
        <v>37.35</v>
      </c>
      <c r="J61" s="23">
        <f>VLOOKUP($A61,'MG Universe'!$A$2:$R$9994,10)</f>
        <v>0.71030000000000004</v>
      </c>
      <c r="K61" s="105">
        <f>VLOOKUP($A61,'MG Universe'!$A$2:$R$9994,11)</f>
        <v>11.78</v>
      </c>
      <c r="L61" s="23">
        <f>VLOOKUP($A61,'MG Universe'!$A$2:$R$9994,12)</f>
        <v>1.9300000000000001E-2</v>
      </c>
      <c r="M61" s="106">
        <f>VLOOKUP($A61,'MG Universe'!$A$2:$R$9994,13)</f>
        <v>1.6</v>
      </c>
      <c r="N61" s="107">
        <f>VLOOKUP($A61,'MG Universe'!$A$2:$R$9994,14)</f>
        <v>16.68</v>
      </c>
      <c r="O61" s="22">
        <f>VLOOKUP($A61,'MG Universe'!$A$2:$R$9994,15)</f>
        <v>13.41</v>
      </c>
      <c r="P61" s="23">
        <f>VLOOKUP($A61,'MG Universe'!$A$2:$R$9994,16)</f>
        <v>1.6400000000000001E-2</v>
      </c>
      <c r="Q61" s="109">
        <f>VLOOKUP($A61,'MG Universe'!$A$2:$R$9994,17)</f>
        <v>20</v>
      </c>
      <c r="R61" s="22">
        <f>VLOOKUP($A61,'MG Universe'!$A$2:$R$9994,18)</f>
        <v>34.33</v>
      </c>
    </row>
    <row r="62" spans="1:18" x14ac:dyDescent="0.55000000000000004">
      <c r="A62" s="18" t="s">
        <v>854</v>
      </c>
      <c r="B62" s="19" t="str">
        <f>VLOOKUP($A62,'MG Universe'!$A$2:$R$9994,2)</f>
        <v>Brown-Forman Corporation</v>
      </c>
      <c r="C62" s="19" t="str">
        <f>VLOOKUP($A62,'MG Universe'!$A$2:$R$9994,3)</f>
        <v>D+</v>
      </c>
      <c r="D62" s="19" t="str">
        <f>VLOOKUP($A62,'MG Universe'!$A$2:$R$9994,4)</f>
        <v>S</v>
      </c>
      <c r="E62" s="19" t="str">
        <f>VLOOKUP($A62,'MG Universe'!$A$2:$R$9994,5)</f>
        <v>O</v>
      </c>
      <c r="F62" s="20" t="str">
        <f>VLOOKUP($A62,'MG Universe'!$A$2:$R$9994,6)</f>
        <v>SO</v>
      </c>
      <c r="G62" s="103">
        <f>VLOOKUP($A62,'MG Universe'!$A$2:$R$9994,7)</f>
        <v>42272</v>
      </c>
      <c r="H62" s="22">
        <f>VLOOKUP($A62,'MG Universe'!$A$2:$R$9994,8)</f>
        <v>9.67</v>
      </c>
      <c r="I62" s="22">
        <f>VLOOKUP($A62,'MG Universe'!$A$2:$R$9994,9)</f>
        <v>96.19</v>
      </c>
      <c r="J62" s="23">
        <f>VLOOKUP($A62,'MG Universe'!$A$2:$R$9994,10)</f>
        <v>9.9473000000000003</v>
      </c>
      <c r="K62" s="105">
        <f>VLOOKUP($A62,'MG Universe'!$A$2:$R$9994,11)</f>
        <v>48.34</v>
      </c>
      <c r="L62" s="23">
        <f>VLOOKUP($A62,'MG Universe'!$A$2:$R$9994,12)</f>
        <v>1.46E-2</v>
      </c>
      <c r="M62" s="106">
        <f>VLOOKUP($A62,'MG Universe'!$A$2:$R$9994,13)</f>
        <v>0.8</v>
      </c>
      <c r="N62" s="107">
        <f>VLOOKUP($A62,'MG Universe'!$A$2:$R$9994,14)</f>
        <v>2.85</v>
      </c>
      <c r="O62" s="22">
        <f>VLOOKUP($A62,'MG Universe'!$A$2:$R$9994,15)</f>
        <v>-1.23</v>
      </c>
      <c r="P62" s="23">
        <f>VLOOKUP($A62,'MG Universe'!$A$2:$R$9994,16)</f>
        <v>0.19919999999999999</v>
      </c>
      <c r="Q62" s="109">
        <f>VLOOKUP($A62,'MG Universe'!$A$2:$R$9994,17)</f>
        <v>20</v>
      </c>
      <c r="R62" s="22">
        <f>VLOOKUP($A62,'MG Universe'!$A$2:$R$9994,18)</f>
        <v>0</v>
      </c>
    </row>
    <row r="63" spans="1:18" x14ac:dyDescent="0.55000000000000004">
      <c r="A63" s="18" t="s">
        <v>1049</v>
      </c>
      <c r="B63" s="19" t="str">
        <f>VLOOKUP($A63,'MG Universe'!$A$2:$R$9994,2)</f>
        <v>Baker Hughes Incorporated</v>
      </c>
      <c r="C63" s="19" t="str">
        <f>VLOOKUP($A63,'MG Universe'!$A$2:$R$9994,3)</f>
        <v>F</v>
      </c>
      <c r="D63" s="19" t="str">
        <f>VLOOKUP($A63,'MG Universe'!$A$2:$R$9994,4)</f>
        <v>S</v>
      </c>
      <c r="E63" s="19" t="str">
        <f>VLOOKUP($A63,'MG Universe'!$A$2:$R$9994,5)</f>
        <v>O</v>
      </c>
      <c r="F63" s="20" t="str">
        <f>VLOOKUP($A63,'MG Universe'!$A$2:$R$9994,6)</f>
        <v>SO</v>
      </c>
      <c r="G63" s="103">
        <f>VLOOKUP($A63,'MG Universe'!$A$2:$R$9994,7)</f>
        <v>42150</v>
      </c>
      <c r="H63" s="22">
        <f>VLOOKUP($A63,'MG Universe'!$A$2:$R$9994,8)</f>
        <v>0</v>
      </c>
      <c r="I63" s="22">
        <f>VLOOKUP($A63,'MG Universe'!$A$2:$R$9994,9)</f>
        <v>45.41</v>
      </c>
      <c r="J63" s="23" t="str">
        <f>VLOOKUP($A63,'MG Universe'!$A$2:$R$9994,10)</f>
        <v>N/A</v>
      </c>
      <c r="K63" s="105">
        <f>VLOOKUP($A63,'MG Universe'!$A$2:$R$9994,11)</f>
        <v>22.15</v>
      </c>
      <c r="L63" s="23">
        <f>VLOOKUP($A63,'MG Universe'!$A$2:$R$9994,12)</f>
        <v>1.4999999999999999E-2</v>
      </c>
      <c r="M63" s="106">
        <f>VLOOKUP($A63,'MG Universe'!$A$2:$R$9994,13)</f>
        <v>1.4</v>
      </c>
      <c r="N63" s="107">
        <f>VLOOKUP($A63,'MG Universe'!$A$2:$R$9994,14)</f>
        <v>2.87</v>
      </c>
      <c r="O63" s="22">
        <f>VLOOKUP($A63,'MG Universe'!$A$2:$R$9994,15)</f>
        <v>3.64</v>
      </c>
      <c r="P63" s="23">
        <f>VLOOKUP($A63,'MG Universe'!$A$2:$R$9994,16)</f>
        <v>6.83E-2</v>
      </c>
      <c r="Q63" s="109">
        <f>VLOOKUP($A63,'MG Universe'!$A$2:$R$9994,17)</f>
        <v>0</v>
      </c>
      <c r="R63" s="22">
        <f>VLOOKUP($A63,'MG Universe'!$A$2:$R$9994,18)</f>
        <v>0</v>
      </c>
    </row>
    <row r="64" spans="1:18" x14ac:dyDescent="0.55000000000000004">
      <c r="A64" s="18" t="s">
        <v>492</v>
      </c>
      <c r="B64" s="19" t="str">
        <f>VLOOKUP($A64,'MG Universe'!$A$2:$R$9994,2)</f>
        <v>Biogen Inc</v>
      </c>
      <c r="C64" s="19" t="str">
        <f>VLOOKUP($A64,'MG Universe'!$A$2:$R$9994,3)</f>
        <v>C-</v>
      </c>
      <c r="D64" s="19" t="str">
        <f>VLOOKUP($A64,'MG Universe'!$A$2:$R$9994,4)</f>
        <v>S</v>
      </c>
      <c r="E64" s="19" t="str">
        <f>VLOOKUP($A64,'MG Universe'!$A$2:$R$9994,5)</f>
        <v>U</v>
      </c>
      <c r="F64" s="20" t="str">
        <f>VLOOKUP($A64,'MG Universe'!$A$2:$R$9994,6)</f>
        <v>SU</v>
      </c>
      <c r="G64" s="103">
        <f>VLOOKUP($A64,'MG Universe'!$A$2:$R$9994,7)</f>
        <v>42402</v>
      </c>
      <c r="H64" s="22">
        <f>VLOOKUP($A64,'MG Universe'!$A$2:$R$9994,8)</f>
        <v>522.89</v>
      </c>
      <c r="I64" s="22">
        <f>VLOOKUP($A64,'MG Universe'!$A$2:$R$9994,9)</f>
        <v>273.66000000000003</v>
      </c>
      <c r="J64" s="23">
        <f>VLOOKUP($A64,'MG Universe'!$A$2:$R$9994,10)</f>
        <v>0.52339999999999998</v>
      </c>
      <c r="K64" s="105">
        <f>VLOOKUP($A64,'MG Universe'!$A$2:$R$9994,11)</f>
        <v>20.149999999999999</v>
      </c>
      <c r="L64" s="23" t="str">
        <f>VLOOKUP($A64,'MG Universe'!$A$2:$R$9994,12)</f>
        <v>N/A</v>
      </c>
      <c r="M64" s="106">
        <f>VLOOKUP($A64,'MG Universe'!$A$2:$R$9994,13)</f>
        <v>1</v>
      </c>
      <c r="N64" s="107">
        <f>VLOOKUP($A64,'MG Universe'!$A$2:$R$9994,14)</f>
        <v>2.6</v>
      </c>
      <c r="O64" s="22">
        <f>VLOOKUP($A64,'MG Universe'!$A$2:$R$9994,15)</f>
        <v>-15.39</v>
      </c>
      <c r="P64" s="23">
        <f>VLOOKUP($A64,'MG Universe'!$A$2:$R$9994,16)</f>
        <v>5.8299999999999998E-2</v>
      </c>
      <c r="Q64" s="109">
        <f>VLOOKUP($A64,'MG Universe'!$A$2:$R$9994,17)</f>
        <v>0</v>
      </c>
      <c r="R64" s="22">
        <f>VLOOKUP($A64,'MG Universe'!$A$2:$R$9994,18)</f>
        <v>126.09</v>
      </c>
    </row>
    <row r="65" spans="1:18" x14ac:dyDescent="0.55000000000000004">
      <c r="A65" s="18" t="s">
        <v>300</v>
      </c>
      <c r="B65" s="19" t="str">
        <f>VLOOKUP($A65,'MG Universe'!$A$2:$R$9994,2)</f>
        <v>Bank of New York Mellon Corp</v>
      </c>
      <c r="C65" s="19" t="str">
        <f>VLOOKUP($A65,'MG Universe'!$A$2:$R$9994,3)</f>
        <v>B+</v>
      </c>
      <c r="D65" s="19" t="str">
        <f>VLOOKUP($A65,'MG Universe'!$A$2:$R$9994,4)</f>
        <v>E</v>
      </c>
      <c r="E65" s="19" t="str">
        <f>VLOOKUP($A65,'MG Universe'!$A$2:$R$9994,5)</f>
        <v>U</v>
      </c>
      <c r="F65" s="20" t="str">
        <f>VLOOKUP($A65,'MG Universe'!$A$2:$R$9994,6)</f>
        <v>EU</v>
      </c>
      <c r="G65" s="103">
        <f>VLOOKUP($A65,'MG Universe'!$A$2:$R$9994,7)</f>
        <v>42377</v>
      </c>
      <c r="H65" s="22">
        <f>VLOOKUP($A65,'MG Universe'!$A$2:$R$9994,8)</f>
        <v>62.8</v>
      </c>
      <c r="I65" s="22">
        <f>VLOOKUP($A65,'MG Universe'!$A$2:$R$9994,9)</f>
        <v>37.42</v>
      </c>
      <c r="J65" s="23">
        <f>VLOOKUP($A65,'MG Universe'!$A$2:$R$9994,10)</f>
        <v>0.59589999999999999</v>
      </c>
      <c r="K65" s="105">
        <f>VLOOKUP($A65,'MG Universe'!$A$2:$R$9994,11)</f>
        <v>17.170000000000002</v>
      </c>
      <c r="L65" s="23">
        <f>VLOOKUP($A65,'MG Universe'!$A$2:$R$9994,12)</f>
        <v>1.8200000000000001E-2</v>
      </c>
      <c r="M65" s="106">
        <f>VLOOKUP($A65,'MG Universe'!$A$2:$R$9994,13)</f>
        <v>1.5</v>
      </c>
      <c r="N65" s="107" t="str">
        <f>VLOOKUP($A65,'MG Universe'!$A$2:$R$9994,14)</f>
        <v>N/A</v>
      </c>
      <c r="O65" s="22" t="str">
        <f>VLOOKUP($A65,'MG Universe'!$A$2:$R$9994,15)</f>
        <v>N/A</v>
      </c>
      <c r="P65" s="23">
        <f>VLOOKUP($A65,'MG Universe'!$A$2:$R$9994,16)</f>
        <v>4.3299999999999998E-2</v>
      </c>
      <c r="Q65" s="109">
        <f>VLOOKUP($A65,'MG Universe'!$A$2:$R$9994,17)</f>
        <v>5</v>
      </c>
      <c r="R65" s="22">
        <f>VLOOKUP($A65,'MG Universe'!$A$2:$R$9994,18)</f>
        <v>44.58</v>
      </c>
    </row>
    <row r="66" spans="1:18" x14ac:dyDescent="0.55000000000000004">
      <c r="A66" s="18" t="s">
        <v>302</v>
      </c>
      <c r="B66" s="19" t="str">
        <f>VLOOKUP($A66,'MG Universe'!$A$2:$R$9994,2)</f>
        <v>BlackRock, Inc.</v>
      </c>
      <c r="C66" s="19" t="str">
        <f>VLOOKUP($A66,'MG Universe'!$A$2:$R$9994,3)</f>
        <v>B+</v>
      </c>
      <c r="D66" s="19" t="str">
        <f>VLOOKUP($A66,'MG Universe'!$A$2:$R$9994,4)</f>
        <v>D</v>
      </c>
      <c r="E66" s="19" t="str">
        <f>VLOOKUP($A66,'MG Universe'!$A$2:$R$9994,5)</f>
        <v>U</v>
      </c>
      <c r="F66" s="20" t="str">
        <f>VLOOKUP($A66,'MG Universe'!$A$2:$R$9994,6)</f>
        <v>DU</v>
      </c>
      <c r="G66" s="103">
        <f>VLOOKUP($A66,'MG Universe'!$A$2:$R$9994,7)</f>
        <v>42319</v>
      </c>
      <c r="H66" s="22">
        <f>VLOOKUP($A66,'MG Universe'!$A$2:$R$9994,8)</f>
        <v>604.55999999999995</v>
      </c>
      <c r="I66" s="22">
        <f>VLOOKUP($A66,'MG Universe'!$A$2:$R$9994,9)</f>
        <v>326.73</v>
      </c>
      <c r="J66" s="23">
        <f>VLOOKUP($A66,'MG Universe'!$A$2:$R$9994,10)</f>
        <v>0.54039999999999999</v>
      </c>
      <c r="K66" s="105">
        <f>VLOOKUP($A66,'MG Universe'!$A$2:$R$9994,11)</f>
        <v>18.600000000000001</v>
      </c>
      <c r="L66" s="23">
        <f>VLOOKUP($A66,'MG Universe'!$A$2:$R$9994,12)</f>
        <v>2.8000000000000001E-2</v>
      </c>
      <c r="M66" s="106">
        <f>VLOOKUP($A66,'MG Universe'!$A$2:$R$9994,13)</f>
        <v>1.4</v>
      </c>
      <c r="N66" s="107">
        <f>VLOOKUP($A66,'MG Universe'!$A$2:$R$9994,14)</f>
        <v>2.86</v>
      </c>
      <c r="O66" s="22">
        <f>VLOOKUP($A66,'MG Universe'!$A$2:$R$9994,15)</f>
        <v>-1101.53</v>
      </c>
      <c r="P66" s="23">
        <f>VLOOKUP($A66,'MG Universe'!$A$2:$R$9994,16)</f>
        <v>5.0500000000000003E-2</v>
      </c>
      <c r="Q66" s="109">
        <f>VLOOKUP($A66,'MG Universe'!$A$2:$R$9994,17)</f>
        <v>6</v>
      </c>
      <c r="R66" s="22">
        <f>VLOOKUP($A66,'MG Universe'!$A$2:$R$9994,18)</f>
        <v>270.85000000000002</v>
      </c>
    </row>
    <row r="67" spans="1:18" x14ac:dyDescent="0.55000000000000004">
      <c r="A67" s="18" t="s">
        <v>856</v>
      </c>
      <c r="B67" s="19" t="str">
        <f>VLOOKUP($A67,'MG Universe'!$A$2:$R$9994,2)</f>
        <v>Ball Corporation</v>
      </c>
      <c r="C67" s="19" t="str">
        <f>VLOOKUP($A67,'MG Universe'!$A$2:$R$9994,3)</f>
        <v>D+</v>
      </c>
      <c r="D67" s="19" t="str">
        <f>VLOOKUP($A67,'MG Universe'!$A$2:$R$9994,4)</f>
        <v>S</v>
      </c>
      <c r="E67" s="19" t="str">
        <f>VLOOKUP($A67,'MG Universe'!$A$2:$R$9994,5)</f>
        <v>F</v>
      </c>
      <c r="F67" s="20" t="str">
        <f>VLOOKUP($A67,'MG Universe'!$A$2:$R$9994,6)</f>
        <v>SF</v>
      </c>
      <c r="G67" s="103">
        <f>VLOOKUP($A67,'MG Universe'!$A$2:$R$9994,7)</f>
        <v>42223</v>
      </c>
      <c r="H67" s="22">
        <f>VLOOKUP($A67,'MG Universe'!$A$2:$R$9994,8)</f>
        <v>84.75</v>
      </c>
      <c r="I67" s="22">
        <f>VLOOKUP($A67,'MG Universe'!$A$2:$R$9994,9)</f>
        <v>68.069999999999993</v>
      </c>
      <c r="J67" s="23">
        <f>VLOOKUP($A67,'MG Universe'!$A$2:$R$9994,10)</f>
        <v>0.80320000000000003</v>
      </c>
      <c r="K67" s="105">
        <f>VLOOKUP($A67,'MG Universe'!$A$2:$R$9994,11)</f>
        <v>23.72</v>
      </c>
      <c r="L67" s="23">
        <f>VLOOKUP($A67,'MG Universe'!$A$2:$R$9994,12)</f>
        <v>7.6E-3</v>
      </c>
      <c r="M67" s="106">
        <f>VLOOKUP($A67,'MG Universe'!$A$2:$R$9994,13)</f>
        <v>1.1000000000000001</v>
      </c>
      <c r="N67" s="107">
        <f>VLOOKUP($A67,'MG Universe'!$A$2:$R$9994,14)</f>
        <v>1.1399999999999999</v>
      </c>
      <c r="O67" s="22">
        <f>VLOOKUP($A67,'MG Universe'!$A$2:$R$9994,15)</f>
        <v>-29.75</v>
      </c>
      <c r="P67" s="23">
        <f>VLOOKUP($A67,'MG Universe'!$A$2:$R$9994,16)</f>
        <v>7.6100000000000001E-2</v>
      </c>
      <c r="Q67" s="109">
        <f>VLOOKUP($A67,'MG Universe'!$A$2:$R$9994,17)</f>
        <v>0</v>
      </c>
      <c r="R67" s="22">
        <f>VLOOKUP($A67,'MG Universe'!$A$2:$R$9994,18)</f>
        <v>0</v>
      </c>
    </row>
    <row r="68" spans="1:18" x14ac:dyDescent="0.55000000000000004">
      <c r="A68" s="18" t="s">
        <v>730</v>
      </c>
      <c r="B68" s="19" t="str">
        <f>VLOOKUP($A68,'MG Universe'!$A$2:$R$9994,2)</f>
        <v>Bristol-Myers Squibb Co</v>
      </c>
      <c r="C68" s="19" t="str">
        <f>VLOOKUP($A68,'MG Universe'!$A$2:$R$9994,3)</f>
        <v>D</v>
      </c>
      <c r="D68" s="19" t="str">
        <f>VLOOKUP($A68,'MG Universe'!$A$2:$R$9994,4)</f>
        <v>S</v>
      </c>
      <c r="E68" s="19" t="str">
        <f>VLOOKUP($A68,'MG Universe'!$A$2:$R$9994,5)</f>
        <v>O</v>
      </c>
      <c r="F68" s="20" t="str">
        <f>VLOOKUP($A68,'MG Universe'!$A$2:$R$9994,6)</f>
        <v>SO</v>
      </c>
      <c r="G68" s="103">
        <f>VLOOKUP($A68,'MG Universe'!$A$2:$R$9994,7)</f>
        <v>42418</v>
      </c>
      <c r="H68" s="22">
        <f>VLOOKUP($A68,'MG Universe'!$A$2:$R$9994,8)</f>
        <v>0</v>
      </c>
      <c r="I68" s="22">
        <f>VLOOKUP($A68,'MG Universe'!$A$2:$R$9994,9)</f>
        <v>64.900000000000006</v>
      </c>
      <c r="J68" s="23" t="str">
        <f>VLOOKUP($A68,'MG Universe'!$A$2:$R$9994,10)</f>
        <v>N/A</v>
      </c>
      <c r="K68" s="105">
        <f>VLOOKUP($A68,'MG Universe'!$A$2:$R$9994,11)</f>
        <v>44.15</v>
      </c>
      <c r="L68" s="23">
        <f>VLOOKUP($A68,'MG Universe'!$A$2:$R$9994,12)</f>
        <v>2.3400000000000001E-2</v>
      </c>
      <c r="M68" s="106">
        <f>VLOOKUP($A68,'MG Universe'!$A$2:$R$9994,13)</f>
        <v>0.6</v>
      </c>
      <c r="N68" s="107">
        <f>VLOOKUP($A68,'MG Universe'!$A$2:$R$9994,14)</f>
        <v>1.3</v>
      </c>
      <c r="O68" s="22">
        <f>VLOOKUP($A68,'MG Universe'!$A$2:$R$9994,15)</f>
        <v>-4.21</v>
      </c>
      <c r="P68" s="23">
        <f>VLOOKUP($A68,'MG Universe'!$A$2:$R$9994,16)</f>
        <v>0.1782</v>
      </c>
      <c r="Q68" s="109">
        <f>VLOOKUP($A68,'MG Universe'!$A$2:$R$9994,17)</f>
        <v>10</v>
      </c>
      <c r="R68" s="22">
        <f>VLOOKUP($A68,'MG Universe'!$A$2:$R$9994,18)</f>
        <v>20.149999999999999</v>
      </c>
    </row>
    <row r="69" spans="1:18" x14ac:dyDescent="0.55000000000000004">
      <c r="A69" s="18" t="s">
        <v>1154</v>
      </c>
      <c r="B69" s="19" t="str">
        <f>VLOOKUP($A69,'MG Universe'!$A$2:$R$9994,2)</f>
        <v>Bristol-Myers Squibb Co</v>
      </c>
      <c r="C69" s="19" t="str">
        <f>VLOOKUP($A69,'MG Universe'!$A$2:$R$9994,3)</f>
        <v>D</v>
      </c>
      <c r="D69" s="19" t="str">
        <f>VLOOKUP($A69,'MG Universe'!$A$2:$R$9994,4)</f>
        <v>S</v>
      </c>
      <c r="E69" s="19" t="str">
        <f>VLOOKUP($A69,'MG Universe'!$A$2:$R$9994,5)</f>
        <v>O</v>
      </c>
      <c r="F69" s="20" t="str">
        <f>VLOOKUP($A69,'MG Universe'!$A$2:$R$9994,6)</f>
        <v>SO</v>
      </c>
      <c r="G69" s="103">
        <f>VLOOKUP($A69,'MG Universe'!$A$2:$R$9994,7)</f>
        <v>42418</v>
      </c>
      <c r="H69" s="22">
        <f>VLOOKUP($A69,'MG Universe'!$A$2:$R$9994,8)</f>
        <v>0</v>
      </c>
      <c r="I69" s="22">
        <f>VLOOKUP($A69,'MG Universe'!$A$2:$R$9994,9)</f>
        <v>64.900000000000006</v>
      </c>
      <c r="J69" s="23" t="str">
        <f>VLOOKUP($A69,'MG Universe'!$A$2:$R$9994,10)</f>
        <v>N/A</v>
      </c>
      <c r="K69" s="105">
        <f>VLOOKUP($A69,'MG Universe'!$A$2:$R$9994,11)</f>
        <v>44.15</v>
      </c>
      <c r="L69" s="23">
        <f>VLOOKUP($A69,'MG Universe'!$A$2:$R$9994,12)</f>
        <v>2.3400000000000001E-2</v>
      </c>
      <c r="M69" s="106">
        <f>VLOOKUP($A69,'MG Universe'!$A$2:$R$9994,13)</f>
        <v>0.6</v>
      </c>
      <c r="N69" s="107">
        <f>VLOOKUP($A69,'MG Universe'!$A$2:$R$9994,14)</f>
        <v>1.3</v>
      </c>
      <c r="O69" s="22">
        <f>VLOOKUP($A69,'MG Universe'!$A$2:$R$9994,15)</f>
        <v>-4.21</v>
      </c>
      <c r="P69" s="23">
        <f>VLOOKUP($A69,'MG Universe'!$A$2:$R$9994,16)</f>
        <v>0.1782</v>
      </c>
      <c r="Q69" s="109">
        <f>VLOOKUP($A69,'MG Universe'!$A$2:$R$9994,17)</f>
        <v>10</v>
      </c>
      <c r="R69" s="22">
        <f>VLOOKUP($A69,'MG Universe'!$A$2:$R$9994,18)</f>
        <v>20.149999999999999</v>
      </c>
    </row>
    <row r="70" spans="1:18" x14ac:dyDescent="0.55000000000000004">
      <c r="A70" s="18" t="s">
        <v>858</v>
      </c>
      <c r="B70" s="19" t="str">
        <f>VLOOKUP($A70,'MG Universe'!$A$2:$R$9994,2)</f>
        <v>Berkshire Hathaway Inc.</v>
      </c>
      <c r="C70" s="19" t="str">
        <f>VLOOKUP($A70,'MG Universe'!$A$2:$R$9994,3)</f>
        <v>D+</v>
      </c>
      <c r="D70" s="19" t="str">
        <f>VLOOKUP($A70,'MG Universe'!$A$2:$R$9994,4)</f>
        <v>S</v>
      </c>
      <c r="E70" s="19" t="str">
        <f>VLOOKUP($A70,'MG Universe'!$A$2:$R$9994,5)</f>
        <v>U</v>
      </c>
      <c r="F70" s="20" t="str">
        <f>VLOOKUP($A70,'MG Universe'!$A$2:$R$9994,6)</f>
        <v>SU</v>
      </c>
      <c r="G70" s="103">
        <f>VLOOKUP($A70,'MG Universe'!$A$2:$R$9994,7)</f>
        <v>42235</v>
      </c>
      <c r="H70" s="22">
        <f>VLOOKUP($A70,'MG Universe'!$A$2:$R$9994,8)</f>
        <v>221.44</v>
      </c>
      <c r="I70" s="22">
        <f>VLOOKUP($A70,'MG Universe'!$A$2:$R$9994,9)</f>
        <v>136.75</v>
      </c>
      <c r="J70" s="23">
        <f>VLOOKUP($A70,'MG Universe'!$A$2:$R$9994,10)</f>
        <v>0.61750000000000005</v>
      </c>
      <c r="K70" s="105">
        <f>VLOOKUP($A70,'MG Universe'!$A$2:$R$9994,11)</f>
        <v>18.940000000000001</v>
      </c>
      <c r="L70" s="23" t="str">
        <f>VLOOKUP($A70,'MG Universe'!$A$2:$R$9994,12)</f>
        <v>N/A</v>
      </c>
      <c r="M70" s="106">
        <f>VLOOKUP($A70,'MG Universe'!$A$2:$R$9994,13)</f>
        <v>0.8</v>
      </c>
      <c r="N70" s="107" t="str">
        <f>VLOOKUP($A70,'MG Universe'!$A$2:$R$9994,14)</f>
        <v>N/A</v>
      </c>
      <c r="O70" s="22" t="str">
        <f>VLOOKUP($A70,'MG Universe'!$A$2:$R$9994,15)</f>
        <v>N/A</v>
      </c>
      <c r="P70" s="23">
        <f>VLOOKUP($A70,'MG Universe'!$A$2:$R$9994,16)</f>
        <v>5.2200000000000003E-2</v>
      </c>
      <c r="Q70" s="109">
        <f>VLOOKUP($A70,'MG Universe'!$A$2:$R$9994,17)</f>
        <v>0</v>
      </c>
      <c r="R70" s="22">
        <f>VLOOKUP($A70,'MG Universe'!$A$2:$R$9994,18)</f>
        <v>0</v>
      </c>
    </row>
    <row r="71" spans="1:18" x14ac:dyDescent="0.55000000000000004">
      <c r="A71" s="18" t="s">
        <v>1051</v>
      </c>
      <c r="B71" s="19" t="str">
        <f>VLOOKUP($A71,'MG Universe'!$A$2:$R$9994,2)</f>
        <v>Boston Scientific Corporation</v>
      </c>
      <c r="C71" s="19" t="str">
        <f>VLOOKUP($A71,'MG Universe'!$A$2:$R$9994,3)</f>
        <v>F</v>
      </c>
      <c r="D71" s="19" t="str">
        <f>VLOOKUP($A71,'MG Universe'!$A$2:$R$9994,4)</f>
        <v>S</v>
      </c>
      <c r="E71" s="19" t="str">
        <f>VLOOKUP($A71,'MG Universe'!$A$2:$R$9994,5)</f>
        <v>O</v>
      </c>
      <c r="F71" s="20" t="str">
        <f>VLOOKUP($A71,'MG Universe'!$A$2:$R$9994,6)</f>
        <v>SO</v>
      </c>
      <c r="G71" s="103">
        <f>VLOOKUP($A71,'MG Universe'!$A$2:$R$9994,7)</f>
        <v>42257</v>
      </c>
      <c r="H71" s="22">
        <f>VLOOKUP($A71,'MG Universe'!$A$2:$R$9994,8)</f>
        <v>0</v>
      </c>
      <c r="I71" s="22">
        <f>VLOOKUP($A71,'MG Universe'!$A$2:$R$9994,9)</f>
        <v>17.36</v>
      </c>
      <c r="J71" s="23" t="str">
        <f>VLOOKUP($A71,'MG Universe'!$A$2:$R$9994,10)</f>
        <v>N/A</v>
      </c>
      <c r="K71" s="105" t="str">
        <f>VLOOKUP($A71,'MG Universe'!$A$2:$R$9994,11)</f>
        <v>N/A</v>
      </c>
      <c r="L71" s="23" t="str">
        <f>VLOOKUP($A71,'MG Universe'!$A$2:$R$9994,12)</f>
        <v>N/A</v>
      </c>
      <c r="M71" s="106">
        <f>VLOOKUP($A71,'MG Universe'!$A$2:$R$9994,13)</f>
        <v>1</v>
      </c>
      <c r="N71" s="107">
        <f>VLOOKUP($A71,'MG Universe'!$A$2:$R$9994,14)</f>
        <v>1.95</v>
      </c>
      <c r="O71" s="22">
        <f>VLOOKUP($A71,'MG Universe'!$A$2:$R$9994,15)</f>
        <v>-4.97</v>
      </c>
      <c r="P71" s="23">
        <f>VLOOKUP($A71,'MG Universe'!$A$2:$R$9994,16)</f>
        <v>-0.4199</v>
      </c>
      <c r="Q71" s="109">
        <f>VLOOKUP($A71,'MG Universe'!$A$2:$R$9994,17)</f>
        <v>0</v>
      </c>
      <c r="R71" s="22">
        <f>VLOOKUP($A71,'MG Universe'!$A$2:$R$9994,18)</f>
        <v>7.64</v>
      </c>
    </row>
    <row r="72" spans="1:18" x14ac:dyDescent="0.55000000000000004">
      <c r="A72" s="18" t="s">
        <v>227</v>
      </c>
      <c r="B72" s="19" t="str">
        <f>VLOOKUP($A72,'MG Universe'!$A$2:$R$9994,2)</f>
        <v>BorgWarner Inc.</v>
      </c>
      <c r="C72" s="19" t="str">
        <f>VLOOKUP($A72,'MG Universe'!$A$2:$R$9994,3)</f>
        <v>B-</v>
      </c>
      <c r="D72" s="19" t="str">
        <f>VLOOKUP($A72,'MG Universe'!$A$2:$R$9994,4)</f>
        <v>E</v>
      </c>
      <c r="E72" s="19" t="str">
        <f>VLOOKUP($A72,'MG Universe'!$A$2:$R$9994,5)</f>
        <v>U</v>
      </c>
      <c r="F72" s="20" t="str">
        <f>VLOOKUP($A72,'MG Universe'!$A$2:$R$9994,6)</f>
        <v>EU</v>
      </c>
      <c r="G72" s="103">
        <f>VLOOKUP($A72,'MG Universe'!$A$2:$R$9994,7)</f>
        <v>42403</v>
      </c>
      <c r="H72" s="22">
        <f>VLOOKUP($A72,'MG Universe'!$A$2:$R$9994,8)</f>
        <v>102.78</v>
      </c>
      <c r="I72" s="22">
        <f>VLOOKUP($A72,'MG Universe'!$A$2:$R$9994,9)</f>
        <v>34.729999999999997</v>
      </c>
      <c r="J72" s="23">
        <f>VLOOKUP($A72,'MG Universe'!$A$2:$R$9994,10)</f>
        <v>0.33789999999999998</v>
      </c>
      <c r="K72" s="105">
        <f>VLOOKUP($A72,'MG Universe'!$A$2:$R$9994,11)</f>
        <v>13.01</v>
      </c>
      <c r="L72" s="23">
        <f>VLOOKUP($A72,'MG Universe'!$A$2:$R$9994,12)</f>
        <v>1.4999999999999999E-2</v>
      </c>
      <c r="M72" s="106">
        <f>VLOOKUP($A72,'MG Universe'!$A$2:$R$9994,13)</f>
        <v>1.7</v>
      </c>
      <c r="N72" s="107">
        <f>VLOOKUP($A72,'MG Universe'!$A$2:$R$9994,14)</f>
        <v>2.14</v>
      </c>
      <c r="O72" s="22">
        <f>VLOOKUP($A72,'MG Universe'!$A$2:$R$9994,15)</f>
        <v>-2.96</v>
      </c>
      <c r="P72" s="23">
        <f>VLOOKUP($A72,'MG Universe'!$A$2:$R$9994,16)</f>
        <v>2.2499999999999999E-2</v>
      </c>
      <c r="Q72" s="109">
        <f>VLOOKUP($A72,'MG Universe'!$A$2:$R$9994,17)</f>
        <v>3</v>
      </c>
      <c r="R72" s="22">
        <f>VLOOKUP($A72,'MG Universe'!$A$2:$R$9994,18)</f>
        <v>32.43</v>
      </c>
    </row>
    <row r="73" spans="1:18" x14ac:dyDescent="0.55000000000000004">
      <c r="A73" s="18" t="s">
        <v>651</v>
      </c>
      <c r="B73" s="19" t="str">
        <f>VLOOKUP($A73,'MG Universe'!$A$2:$R$9994,2)</f>
        <v>Boston Properties, Inc.</v>
      </c>
      <c r="C73" s="19" t="str">
        <f>VLOOKUP($A73,'MG Universe'!$A$2:$R$9994,3)</f>
        <v>C+</v>
      </c>
      <c r="D73" s="19" t="str">
        <f>VLOOKUP($A73,'MG Universe'!$A$2:$R$9994,4)</f>
        <v>E</v>
      </c>
      <c r="E73" s="19" t="str">
        <f>VLOOKUP($A73,'MG Universe'!$A$2:$R$9994,5)</f>
        <v>O</v>
      </c>
      <c r="F73" s="20" t="str">
        <f>VLOOKUP($A73,'MG Universe'!$A$2:$R$9994,6)</f>
        <v>EO</v>
      </c>
      <c r="G73" s="103">
        <f>VLOOKUP($A73,'MG Universe'!$A$2:$R$9994,7)</f>
        <v>42321</v>
      </c>
      <c r="H73" s="22">
        <f>VLOOKUP($A73,'MG Universe'!$A$2:$R$9994,8)</f>
        <v>98.25</v>
      </c>
      <c r="I73" s="22">
        <f>VLOOKUP($A73,'MG Universe'!$A$2:$R$9994,9)</f>
        <v>118.03</v>
      </c>
      <c r="J73" s="23">
        <f>VLOOKUP($A73,'MG Universe'!$A$2:$R$9994,10)</f>
        <v>1.2013</v>
      </c>
      <c r="K73" s="105">
        <f>VLOOKUP($A73,'MG Universe'!$A$2:$R$9994,11)</f>
        <v>33.72</v>
      </c>
      <c r="L73" s="23">
        <f>VLOOKUP($A73,'MG Universe'!$A$2:$R$9994,12)</f>
        <v>2.1999999999999999E-2</v>
      </c>
      <c r="M73" s="106">
        <f>VLOOKUP($A73,'MG Universe'!$A$2:$R$9994,13)</f>
        <v>0.7</v>
      </c>
      <c r="N73" s="107">
        <f>VLOOKUP($A73,'MG Universe'!$A$2:$R$9994,14)</f>
        <v>4.12</v>
      </c>
      <c r="O73" s="22">
        <f>VLOOKUP($A73,'MG Universe'!$A$2:$R$9994,15)</f>
        <v>-70.41</v>
      </c>
      <c r="P73" s="23">
        <f>VLOOKUP($A73,'MG Universe'!$A$2:$R$9994,16)</f>
        <v>0.12609999999999999</v>
      </c>
      <c r="Q73" s="109">
        <f>VLOOKUP($A73,'MG Universe'!$A$2:$R$9994,17)</f>
        <v>0</v>
      </c>
      <c r="R73" s="22">
        <f>VLOOKUP($A73,'MG Universe'!$A$2:$R$9994,18)</f>
        <v>58.9</v>
      </c>
    </row>
    <row r="74" spans="1:18" x14ac:dyDescent="0.55000000000000004">
      <c r="A74" s="18" t="s">
        <v>304</v>
      </c>
      <c r="B74" s="19" t="str">
        <f>VLOOKUP($A74,'MG Universe'!$A$2:$R$9994,2)</f>
        <v>Citigroup Inc</v>
      </c>
      <c r="C74" s="19" t="str">
        <f>VLOOKUP($A74,'MG Universe'!$A$2:$R$9994,3)</f>
        <v>B+</v>
      </c>
      <c r="D74" s="19" t="str">
        <f>VLOOKUP($A74,'MG Universe'!$A$2:$R$9994,4)</f>
        <v>E</v>
      </c>
      <c r="E74" s="19" t="str">
        <f>VLOOKUP($A74,'MG Universe'!$A$2:$R$9994,5)</f>
        <v>U</v>
      </c>
      <c r="F74" s="20" t="str">
        <f>VLOOKUP($A74,'MG Universe'!$A$2:$R$9994,6)</f>
        <v>EU</v>
      </c>
      <c r="G74" s="103">
        <f>VLOOKUP($A74,'MG Universe'!$A$2:$R$9994,7)</f>
        <v>42348</v>
      </c>
      <c r="H74" s="22">
        <f>VLOOKUP($A74,'MG Universe'!$A$2:$R$9994,8)</f>
        <v>146.58000000000001</v>
      </c>
      <c r="I74" s="22">
        <f>VLOOKUP($A74,'MG Universe'!$A$2:$R$9994,9)</f>
        <v>42.22</v>
      </c>
      <c r="J74" s="23">
        <f>VLOOKUP($A74,'MG Universe'!$A$2:$R$9994,10)</f>
        <v>0.28799999999999998</v>
      </c>
      <c r="K74" s="105">
        <f>VLOOKUP($A74,'MG Universe'!$A$2:$R$9994,11)</f>
        <v>11.08</v>
      </c>
      <c r="L74" s="23">
        <f>VLOOKUP($A74,'MG Universe'!$A$2:$R$9994,12)</f>
        <v>4.7000000000000002E-3</v>
      </c>
      <c r="M74" s="106">
        <f>VLOOKUP($A74,'MG Universe'!$A$2:$R$9994,13)</f>
        <v>2</v>
      </c>
      <c r="N74" s="107" t="str">
        <f>VLOOKUP($A74,'MG Universe'!$A$2:$R$9994,14)</f>
        <v>N/A</v>
      </c>
      <c r="O74" s="22" t="str">
        <f>VLOOKUP($A74,'MG Universe'!$A$2:$R$9994,15)</f>
        <v>N/A</v>
      </c>
      <c r="P74" s="23">
        <f>VLOOKUP($A74,'MG Universe'!$A$2:$R$9994,16)</f>
        <v>1.29E-2</v>
      </c>
      <c r="Q74" s="109">
        <f>VLOOKUP($A74,'MG Universe'!$A$2:$R$9994,17)</f>
        <v>1</v>
      </c>
      <c r="R74" s="22">
        <f>VLOOKUP($A74,'MG Universe'!$A$2:$R$9994,18)</f>
        <v>91.16</v>
      </c>
    </row>
    <row r="75" spans="1:18" x14ac:dyDescent="0.55000000000000004">
      <c r="A75" s="18" t="s">
        <v>155</v>
      </c>
      <c r="B75" s="19" t="str">
        <f>VLOOKUP($A75,'MG Universe'!$A$2:$R$9994,2)</f>
        <v>CA, Inc.</v>
      </c>
      <c r="C75" s="19" t="str">
        <f>VLOOKUP($A75,'MG Universe'!$A$2:$R$9994,3)</f>
        <v>B</v>
      </c>
      <c r="D75" s="19" t="str">
        <f>VLOOKUP($A75,'MG Universe'!$A$2:$R$9994,4)</f>
        <v>D</v>
      </c>
      <c r="E75" s="19" t="str">
        <f>VLOOKUP($A75,'MG Universe'!$A$2:$R$9994,5)</f>
        <v>F</v>
      </c>
      <c r="F75" s="20" t="str">
        <f>VLOOKUP($A75,'MG Universe'!$A$2:$R$9994,6)</f>
        <v>DF</v>
      </c>
      <c r="G75" s="103">
        <f>VLOOKUP($A75,'MG Universe'!$A$2:$R$9994,7)</f>
        <v>42398</v>
      </c>
      <c r="H75" s="22">
        <f>VLOOKUP($A75,'MG Universe'!$A$2:$R$9994,8)</f>
        <v>30.31</v>
      </c>
      <c r="I75" s="22">
        <f>VLOOKUP($A75,'MG Universe'!$A$2:$R$9994,9)</f>
        <v>29.61</v>
      </c>
      <c r="J75" s="23">
        <f>VLOOKUP($A75,'MG Universe'!$A$2:$R$9994,10)</f>
        <v>0.97689999999999999</v>
      </c>
      <c r="K75" s="105">
        <f>VLOOKUP($A75,'MG Universe'!$A$2:$R$9994,11)</f>
        <v>15.03</v>
      </c>
      <c r="L75" s="23">
        <f>VLOOKUP($A75,'MG Universe'!$A$2:$R$9994,12)</f>
        <v>3.3799999999999997E-2</v>
      </c>
      <c r="M75" s="106">
        <f>VLOOKUP($A75,'MG Universe'!$A$2:$R$9994,13)</f>
        <v>1.1000000000000001</v>
      </c>
      <c r="N75" s="107">
        <f>VLOOKUP($A75,'MG Universe'!$A$2:$R$9994,14)</f>
        <v>1.28</v>
      </c>
      <c r="O75" s="22">
        <f>VLOOKUP($A75,'MG Universe'!$A$2:$R$9994,15)</f>
        <v>-5.17</v>
      </c>
      <c r="P75" s="23">
        <f>VLOOKUP($A75,'MG Universe'!$A$2:$R$9994,16)</f>
        <v>3.27E-2</v>
      </c>
      <c r="Q75" s="109">
        <f>VLOOKUP($A75,'MG Universe'!$A$2:$R$9994,17)</f>
        <v>0</v>
      </c>
      <c r="R75" s="22">
        <f>VLOOKUP($A75,'MG Universe'!$A$2:$R$9994,18)</f>
        <v>23.64</v>
      </c>
    </row>
    <row r="76" spans="1:18" x14ac:dyDescent="0.55000000000000004">
      <c r="A76" s="18" t="s">
        <v>732</v>
      </c>
      <c r="B76" s="19" t="str">
        <f>VLOOKUP($A76,'MG Universe'!$A$2:$R$9994,2)</f>
        <v>ConAgra Foods Inc</v>
      </c>
      <c r="C76" s="19" t="str">
        <f>VLOOKUP($A76,'MG Universe'!$A$2:$R$9994,3)</f>
        <v>D</v>
      </c>
      <c r="D76" s="19" t="str">
        <f>VLOOKUP($A76,'MG Universe'!$A$2:$R$9994,4)</f>
        <v>S</v>
      </c>
      <c r="E76" s="19" t="str">
        <f>VLOOKUP($A76,'MG Universe'!$A$2:$R$9994,5)</f>
        <v>O</v>
      </c>
      <c r="F76" s="20" t="str">
        <f>VLOOKUP($A76,'MG Universe'!$A$2:$R$9994,6)</f>
        <v>SO</v>
      </c>
      <c r="G76" s="103">
        <f>VLOOKUP($A76,'MG Universe'!$A$2:$R$9994,7)</f>
        <v>42231</v>
      </c>
      <c r="H76" s="22">
        <f>VLOOKUP($A76,'MG Universe'!$A$2:$R$9994,8)</f>
        <v>0</v>
      </c>
      <c r="I76" s="22">
        <f>VLOOKUP($A76,'MG Universe'!$A$2:$R$9994,9)</f>
        <v>42.76</v>
      </c>
      <c r="J76" s="23" t="str">
        <f>VLOOKUP($A76,'MG Universe'!$A$2:$R$9994,10)</f>
        <v>N/A</v>
      </c>
      <c r="K76" s="105">
        <f>VLOOKUP($A76,'MG Universe'!$A$2:$R$9994,11)</f>
        <v>41.92</v>
      </c>
      <c r="L76" s="23">
        <f>VLOOKUP($A76,'MG Universe'!$A$2:$R$9994,12)</f>
        <v>2.3400000000000001E-2</v>
      </c>
      <c r="M76" s="106">
        <f>VLOOKUP($A76,'MG Universe'!$A$2:$R$9994,13)</f>
        <v>0.4</v>
      </c>
      <c r="N76" s="107">
        <f>VLOOKUP($A76,'MG Universe'!$A$2:$R$9994,14)</f>
        <v>1.1100000000000001</v>
      </c>
      <c r="O76" s="22">
        <f>VLOOKUP($A76,'MG Universe'!$A$2:$R$9994,15)</f>
        <v>-21.85</v>
      </c>
      <c r="P76" s="23">
        <f>VLOOKUP($A76,'MG Universe'!$A$2:$R$9994,16)</f>
        <v>0.1671</v>
      </c>
      <c r="Q76" s="109">
        <f>VLOOKUP($A76,'MG Universe'!$A$2:$R$9994,17)</f>
        <v>0</v>
      </c>
      <c r="R76" s="22">
        <f>VLOOKUP($A76,'MG Universe'!$A$2:$R$9994,18)</f>
        <v>0</v>
      </c>
    </row>
    <row r="77" spans="1:18" x14ac:dyDescent="0.55000000000000004">
      <c r="A77" s="18" t="s">
        <v>734</v>
      </c>
      <c r="B77" s="19" t="str">
        <f>VLOOKUP($A77,'MG Universe'!$A$2:$R$9994,2)</f>
        <v>Cardinal Health Inc</v>
      </c>
      <c r="C77" s="19" t="str">
        <f>VLOOKUP($A77,'MG Universe'!$A$2:$R$9994,3)</f>
        <v>D</v>
      </c>
      <c r="D77" s="19" t="str">
        <f>VLOOKUP($A77,'MG Universe'!$A$2:$R$9994,4)</f>
        <v>S</v>
      </c>
      <c r="E77" s="19" t="str">
        <f>VLOOKUP($A77,'MG Universe'!$A$2:$R$9994,5)</f>
        <v>O</v>
      </c>
      <c r="F77" s="20" t="str">
        <f>VLOOKUP($A77,'MG Universe'!$A$2:$R$9994,6)</f>
        <v>SO</v>
      </c>
      <c r="G77" s="103">
        <f>VLOOKUP($A77,'MG Universe'!$A$2:$R$9994,7)</f>
        <v>42024</v>
      </c>
      <c r="H77" s="22">
        <f>VLOOKUP($A77,'MG Universe'!$A$2:$R$9994,8)</f>
        <v>35.17</v>
      </c>
      <c r="I77" s="22">
        <f>VLOOKUP($A77,'MG Universe'!$A$2:$R$9994,9)</f>
        <v>83.16</v>
      </c>
      <c r="J77" s="23">
        <f>VLOOKUP($A77,'MG Universe'!$A$2:$R$9994,10)</f>
        <v>2.3645</v>
      </c>
      <c r="K77" s="105">
        <f>VLOOKUP($A77,'MG Universe'!$A$2:$R$9994,11)</f>
        <v>27</v>
      </c>
      <c r="L77" s="23">
        <f>VLOOKUP($A77,'MG Universe'!$A$2:$R$9994,12)</f>
        <v>1.8599999999999998E-2</v>
      </c>
      <c r="M77" s="106">
        <f>VLOOKUP($A77,'MG Universe'!$A$2:$R$9994,13)</f>
        <v>0.6</v>
      </c>
      <c r="N77" s="107">
        <f>VLOOKUP($A77,'MG Universe'!$A$2:$R$9994,14)</f>
        <v>1.18</v>
      </c>
      <c r="O77" s="22">
        <f>VLOOKUP($A77,'MG Universe'!$A$2:$R$9994,15)</f>
        <v>-5.64</v>
      </c>
      <c r="P77" s="23">
        <f>VLOOKUP($A77,'MG Universe'!$A$2:$R$9994,16)</f>
        <v>9.2499999999999999E-2</v>
      </c>
      <c r="Q77" s="109">
        <f>VLOOKUP($A77,'MG Universe'!$A$2:$R$9994,17)</f>
        <v>0</v>
      </c>
      <c r="R77" s="22">
        <f>VLOOKUP($A77,'MG Universe'!$A$2:$R$9994,18)</f>
        <v>0</v>
      </c>
    </row>
    <row r="78" spans="1:18" x14ac:dyDescent="0.55000000000000004">
      <c r="A78" s="18" t="s">
        <v>494</v>
      </c>
      <c r="B78" s="19" t="str">
        <f>VLOOKUP($A78,'MG Universe'!$A$2:$R$9994,2)</f>
        <v>Cameron International Corporation</v>
      </c>
      <c r="C78" s="19" t="str">
        <f>VLOOKUP($A78,'MG Universe'!$A$2:$R$9994,3)</f>
        <v>C-</v>
      </c>
      <c r="D78" s="19" t="str">
        <f>VLOOKUP($A78,'MG Universe'!$A$2:$R$9994,4)</f>
        <v>E</v>
      </c>
      <c r="E78" s="19" t="str">
        <f>VLOOKUP($A78,'MG Universe'!$A$2:$R$9994,5)</f>
        <v>O</v>
      </c>
      <c r="F78" s="20" t="str">
        <f>VLOOKUP($A78,'MG Universe'!$A$2:$R$9994,6)</f>
        <v>EO</v>
      </c>
      <c r="G78" s="103">
        <f>VLOOKUP($A78,'MG Universe'!$A$2:$R$9994,7)</f>
        <v>42272</v>
      </c>
      <c r="H78" s="22">
        <f>VLOOKUP($A78,'MG Universe'!$A$2:$R$9994,8)</f>
        <v>57.53</v>
      </c>
      <c r="I78" s="22">
        <f>VLOOKUP($A78,'MG Universe'!$A$2:$R$9994,9)</f>
        <v>67.540000000000006</v>
      </c>
      <c r="J78" s="23">
        <f>VLOOKUP($A78,'MG Universe'!$A$2:$R$9994,10)</f>
        <v>1.1739999999999999</v>
      </c>
      <c r="K78" s="105">
        <f>VLOOKUP($A78,'MG Universe'!$A$2:$R$9994,11)</f>
        <v>22.51</v>
      </c>
      <c r="L78" s="23" t="str">
        <f>VLOOKUP($A78,'MG Universe'!$A$2:$R$9994,12)</f>
        <v>N/A</v>
      </c>
      <c r="M78" s="106">
        <f>VLOOKUP($A78,'MG Universe'!$A$2:$R$9994,13)</f>
        <v>0.7</v>
      </c>
      <c r="N78" s="107">
        <f>VLOOKUP($A78,'MG Universe'!$A$2:$R$9994,14)</f>
        <v>2.19</v>
      </c>
      <c r="O78" s="22">
        <f>VLOOKUP($A78,'MG Universe'!$A$2:$R$9994,15)</f>
        <v>-0.83</v>
      </c>
      <c r="P78" s="23">
        <f>VLOOKUP($A78,'MG Universe'!$A$2:$R$9994,16)</f>
        <v>7.0099999999999996E-2</v>
      </c>
      <c r="Q78" s="109">
        <f>VLOOKUP($A78,'MG Universe'!$A$2:$R$9994,17)</f>
        <v>0</v>
      </c>
      <c r="R78" s="22">
        <f>VLOOKUP($A78,'MG Universe'!$A$2:$R$9994,18)</f>
        <v>35.950000000000003</v>
      </c>
    </row>
    <row r="79" spans="1:18" x14ac:dyDescent="0.55000000000000004">
      <c r="A79" s="18" t="s">
        <v>496</v>
      </c>
      <c r="B79" s="19" t="str">
        <f>VLOOKUP($A79,'MG Universe'!$A$2:$R$9994,2)</f>
        <v>Caterpillar Inc.</v>
      </c>
      <c r="C79" s="19" t="str">
        <f>VLOOKUP($A79,'MG Universe'!$A$2:$R$9994,3)</f>
        <v>C-</v>
      </c>
      <c r="D79" s="19" t="str">
        <f>VLOOKUP($A79,'MG Universe'!$A$2:$R$9994,4)</f>
        <v>S</v>
      </c>
      <c r="E79" s="19" t="str">
        <f>VLOOKUP($A79,'MG Universe'!$A$2:$R$9994,5)</f>
        <v>F</v>
      </c>
      <c r="F79" s="20" t="str">
        <f>VLOOKUP($A79,'MG Universe'!$A$2:$R$9994,6)</f>
        <v>SF</v>
      </c>
      <c r="G79" s="103">
        <f>VLOOKUP($A79,'MG Universe'!$A$2:$R$9994,7)</f>
        <v>42206</v>
      </c>
      <c r="H79" s="22">
        <f>VLOOKUP($A79,'MG Universe'!$A$2:$R$9994,8)</f>
        <v>82.62</v>
      </c>
      <c r="I79" s="22">
        <f>VLOOKUP($A79,'MG Universe'!$A$2:$R$9994,9)</f>
        <v>69.37</v>
      </c>
      <c r="J79" s="23">
        <f>VLOOKUP($A79,'MG Universe'!$A$2:$R$9994,10)</f>
        <v>0.83960000000000001</v>
      </c>
      <c r="K79" s="105">
        <f>VLOOKUP($A79,'MG Universe'!$A$2:$R$9994,11)</f>
        <v>11.78</v>
      </c>
      <c r="L79" s="23">
        <f>VLOOKUP($A79,'MG Universe'!$A$2:$R$9994,12)</f>
        <v>4.4400000000000002E-2</v>
      </c>
      <c r="M79" s="106">
        <f>VLOOKUP($A79,'MG Universe'!$A$2:$R$9994,13)</f>
        <v>1.6</v>
      </c>
      <c r="N79" s="107">
        <f>VLOOKUP($A79,'MG Universe'!$A$2:$R$9994,14)</f>
        <v>1.45</v>
      </c>
      <c r="O79" s="22">
        <f>VLOOKUP($A79,'MG Universe'!$A$2:$R$9994,15)</f>
        <v>-44.13</v>
      </c>
      <c r="P79" s="23">
        <f>VLOOKUP($A79,'MG Universe'!$A$2:$R$9994,16)</f>
        <v>1.6400000000000001E-2</v>
      </c>
      <c r="Q79" s="109">
        <f>VLOOKUP($A79,'MG Universe'!$A$2:$R$9994,17)</f>
        <v>0</v>
      </c>
      <c r="R79" s="22">
        <f>VLOOKUP($A79,'MG Universe'!$A$2:$R$9994,18)</f>
        <v>0</v>
      </c>
    </row>
    <row r="80" spans="1:18" x14ac:dyDescent="0.55000000000000004">
      <c r="A80" s="18" t="s">
        <v>92</v>
      </c>
      <c r="B80" s="19" t="str">
        <f>VLOOKUP($A80,'MG Universe'!$A$2:$R$9994,2)</f>
        <v>Chubb Ltd</v>
      </c>
      <c r="C80" s="19" t="str">
        <f>VLOOKUP($A80,'MG Universe'!$A$2:$R$9994,3)</f>
        <v>A-</v>
      </c>
      <c r="D80" s="19" t="str">
        <f>VLOOKUP($A80,'MG Universe'!$A$2:$R$9994,4)</f>
        <v>D</v>
      </c>
      <c r="E80" s="19" t="str">
        <f>VLOOKUP($A80,'MG Universe'!$A$2:$R$9994,5)</f>
        <v>U</v>
      </c>
      <c r="F80" s="20" t="str">
        <f>VLOOKUP($A80,'MG Universe'!$A$2:$R$9994,6)</f>
        <v>DU</v>
      </c>
      <c r="G80" s="103">
        <f>VLOOKUP($A80,'MG Universe'!$A$2:$R$9994,7)</f>
        <v>42415</v>
      </c>
      <c r="H80" s="22">
        <f>VLOOKUP($A80,'MG Universe'!$A$2:$R$9994,8)</f>
        <v>158.69999999999999</v>
      </c>
      <c r="I80" s="22">
        <f>VLOOKUP($A80,'MG Universe'!$A$2:$R$9994,9)</f>
        <v>118.36</v>
      </c>
      <c r="J80" s="23">
        <f>VLOOKUP($A80,'MG Universe'!$A$2:$R$9994,10)</f>
        <v>0.74580000000000002</v>
      </c>
      <c r="K80" s="105">
        <f>VLOOKUP($A80,'MG Universe'!$A$2:$R$9994,11)</f>
        <v>13.15</v>
      </c>
      <c r="L80" s="23" t="str">
        <f>VLOOKUP($A80,'MG Universe'!$A$2:$R$9994,12)</f>
        <v>N/A</v>
      </c>
      <c r="M80" s="106">
        <f>VLOOKUP($A80,'MG Universe'!$A$2:$R$9994,13)</f>
        <v>1</v>
      </c>
      <c r="N80" s="107" t="str">
        <f>VLOOKUP($A80,'MG Universe'!$A$2:$R$9994,14)</f>
        <v>N/A</v>
      </c>
      <c r="O80" s="22" t="str">
        <f>VLOOKUP($A80,'MG Universe'!$A$2:$R$9994,15)</f>
        <v>N/A</v>
      </c>
      <c r="P80" s="23">
        <f>VLOOKUP($A80,'MG Universe'!$A$2:$R$9994,16)</f>
        <v>2.3300000000000001E-2</v>
      </c>
      <c r="Q80" s="109">
        <f>VLOOKUP($A80,'MG Universe'!$A$2:$R$9994,17)</f>
        <v>0</v>
      </c>
      <c r="R80" s="22">
        <f>VLOOKUP($A80,'MG Universe'!$A$2:$R$9994,18)</f>
        <v>135.65</v>
      </c>
    </row>
    <row r="81" spans="1:18" x14ac:dyDescent="0.55000000000000004">
      <c r="A81" s="18" t="s">
        <v>860</v>
      </c>
      <c r="B81" s="19" t="str">
        <f>VLOOKUP($A81,'MG Universe'!$A$2:$R$9994,2)</f>
        <v>CBRE Group Inc</v>
      </c>
      <c r="C81" s="19" t="str">
        <f>VLOOKUP($A81,'MG Universe'!$A$2:$R$9994,3)</f>
        <v>D+</v>
      </c>
      <c r="D81" s="19" t="str">
        <f>VLOOKUP($A81,'MG Universe'!$A$2:$R$9994,4)</f>
        <v>S</v>
      </c>
      <c r="E81" s="19" t="str">
        <f>VLOOKUP($A81,'MG Universe'!$A$2:$R$9994,5)</f>
        <v>U</v>
      </c>
      <c r="F81" s="20" t="str">
        <f>VLOOKUP($A81,'MG Universe'!$A$2:$R$9994,6)</f>
        <v>SU</v>
      </c>
      <c r="G81" s="103">
        <f>VLOOKUP($A81,'MG Universe'!$A$2:$R$9994,7)</f>
        <v>42028</v>
      </c>
      <c r="H81" s="22">
        <f>VLOOKUP($A81,'MG Universe'!$A$2:$R$9994,8)</f>
        <v>44.33</v>
      </c>
      <c r="I81" s="22">
        <f>VLOOKUP($A81,'MG Universe'!$A$2:$R$9994,9)</f>
        <v>26.43</v>
      </c>
      <c r="J81" s="23">
        <f>VLOOKUP($A81,'MG Universe'!$A$2:$R$9994,10)</f>
        <v>0.59619999999999995</v>
      </c>
      <c r="K81" s="105">
        <f>VLOOKUP($A81,'MG Universe'!$A$2:$R$9994,11)</f>
        <v>22.98</v>
      </c>
      <c r="L81" s="23" t="str">
        <f>VLOOKUP($A81,'MG Universe'!$A$2:$R$9994,12)</f>
        <v>N/A</v>
      </c>
      <c r="M81" s="106">
        <f>VLOOKUP($A81,'MG Universe'!$A$2:$R$9994,13)</f>
        <v>2.1</v>
      </c>
      <c r="N81" s="107">
        <f>VLOOKUP($A81,'MG Universe'!$A$2:$R$9994,14)</f>
        <v>1.29</v>
      </c>
      <c r="O81" s="22">
        <f>VLOOKUP($A81,'MG Universe'!$A$2:$R$9994,15)</f>
        <v>-5.75</v>
      </c>
      <c r="P81" s="23">
        <f>VLOOKUP($A81,'MG Universe'!$A$2:$R$9994,16)</f>
        <v>7.2400000000000006E-2</v>
      </c>
      <c r="Q81" s="109">
        <f>VLOOKUP($A81,'MG Universe'!$A$2:$R$9994,17)</f>
        <v>0</v>
      </c>
      <c r="R81" s="22">
        <f>VLOOKUP($A81,'MG Universe'!$A$2:$R$9994,18)</f>
        <v>0</v>
      </c>
    </row>
    <row r="82" spans="1:18" x14ac:dyDescent="0.55000000000000004">
      <c r="A82" s="18" t="s">
        <v>229</v>
      </c>
      <c r="B82" s="19" t="str">
        <f>VLOOKUP($A82,'MG Universe'!$A$2:$R$9994,2)</f>
        <v>CBS Corporation</v>
      </c>
      <c r="C82" s="19" t="str">
        <f>VLOOKUP($A82,'MG Universe'!$A$2:$R$9994,3)</f>
        <v>B-</v>
      </c>
      <c r="D82" s="19" t="str">
        <f>VLOOKUP($A82,'MG Universe'!$A$2:$R$9994,4)</f>
        <v>E</v>
      </c>
      <c r="E82" s="19" t="str">
        <f>VLOOKUP($A82,'MG Universe'!$A$2:$R$9994,5)</f>
        <v>U</v>
      </c>
      <c r="F82" s="20" t="str">
        <f>VLOOKUP($A82,'MG Universe'!$A$2:$R$9994,6)</f>
        <v>EU</v>
      </c>
      <c r="G82" s="103">
        <f>VLOOKUP($A82,'MG Universe'!$A$2:$R$9994,7)</f>
        <v>42320</v>
      </c>
      <c r="H82" s="22">
        <f>VLOOKUP($A82,'MG Universe'!$A$2:$R$9994,8)</f>
        <v>145.81</v>
      </c>
      <c r="I82" s="22">
        <f>VLOOKUP($A82,'MG Universe'!$A$2:$R$9994,9)</f>
        <v>50.14</v>
      </c>
      <c r="J82" s="23">
        <f>VLOOKUP($A82,'MG Universe'!$A$2:$R$9994,10)</f>
        <v>0.34389999999999998</v>
      </c>
      <c r="K82" s="105">
        <f>VLOOKUP($A82,'MG Universe'!$A$2:$R$9994,11)</f>
        <v>13.23</v>
      </c>
      <c r="L82" s="23">
        <f>VLOOKUP($A82,'MG Universe'!$A$2:$R$9994,12)</f>
        <v>1.2E-2</v>
      </c>
      <c r="M82" s="106">
        <f>VLOOKUP($A82,'MG Universe'!$A$2:$R$9994,13)</f>
        <v>1.8</v>
      </c>
      <c r="N82" s="107">
        <f>VLOOKUP($A82,'MG Universe'!$A$2:$R$9994,14)</f>
        <v>1.62</v>
      </c>
      <c r="O82" s="22">
        <f>VLOOKUP($A82,'MG Universe'!$A$2:$R$9994,15)</f>
        <v>-26.46</v>
      </c>
      <c r="P82" s="23">
        <f>VLOOKUP($A82,'MG Universe'!$A$2:$R$9994,16)</f>
        <v>2.3599999999999999E-2</v>
      </c>
      <c r="Q82" s="109">
        <f>VLOOKUP($A82,'MG Universe'!$A$2:$R$9994,17)</f>
        <v>5</v>
      </c>
      <c r="R82" s="22">
        <f>VLOOKUP($A82,'MG Universe'!$A$2:$R$9994,18)</f>
        <v>33.409999999999997</v>
      </c>
    </row>
    <row r="83" spans="1:18" x14ac:dyDescent="0.55000000000000004">
      <c r="A83" s="18" t="s">
        <v>367</v>
      </c>
      <c r="B83" s="19" t="str">
        <f>VLOOKUP($A83,'MG Universe'!$A$2:$R$9994,2)</f>
        <v>Coca-Cola Enterprises Inc</v>
      </c>
      <c r="C83" s="19" t="str">
        <f>VLOOKUP($A83,'MG Universe'!$A$2:$R$9994,3)</f>
        <v>C</v>
      </c>
      <c r="D83" s="19" t="str">
        <f>VLOOKUP($A83,'MG Universe'!$A$2:$R$9994,4)</f>
        <v>S</v>
      </c>
      <c r="E83" s="19" t="str">
        <f>VLOOKUP($A83,'MG Universe'!$A$2:$R$9994,5)</f>
        <v>U</v>
      </c>
      <c r="F83" s="20" t="str">
        <f>VLOOKUP($A83,'MG Universe'!$A$2:$R$9994,6)</f>
        <v>SU</v>
      </c>
      <c r="G83" s="103">
        <f>VLOOKUP($A83,'MG Universe'!$A$2:$R$9994,7)</f>
        <v>42248</v>
      </c>
      <c r="H83" s="22">
        <f>VLOOKUP($A83,'MG Universe'!$A$2:$R$9994,8)</f>
        <v>94.53</v>
      </c>
      <c r="I83" s="22">
        <f>VLOOKUP($A83,'MG Universe'!$A$2:$R$9994,9)</f>
        <v>48.46</v>
      </c>
      <c r="J83" s="23">
        <f>VLOOKUP($A83,'MG Universe'!$A$2:$R$9994,10)</f>
        <v>0.51259999999999994</v>
      </c>
      <c r="K83" s="105">
        <f>VLOOKUP($A83,'MG Universe'!$A$2:$R$9994,11)</f>
        <v>19.7</v>
      </c>
      <c r="L83" s="23">
        <f>VLOOKUP($A83,'MG Universe'!$A$2:$R$9994,12)</f>
        <v>2.4799999999999999E-2</v>
      </c>
      <c r="M83" s="106">
        <f>VLOOKUP($A83,'MG Universe'!$A$2:$R$9994,13)</f>
        <v>1</v>
      </c>
      <c r="N83" s="107">
        <f>VLOOKUP($A83,'MG Universe'!$A$2:$R$9994,14)</f>
        <v>1.01</v>
      </c>
      <c r="O83" s="22">
        <f>VLOOKUP($A83,'MG Universe'!$A$2:$R$9994,15)</f>
        <v>-20.59</v>
      </c>
      <c r="P83" s="23">
        <f>VLOOKUP($A83,'MG Universe'!$A$2:$R$9994,16)</f>
        <v>5.6000000000000001E-2</v>
      </c>
      <c r="Q83" s="109">
        <f>VLOOKUP($A83,'MG Universe'!$A$2:$R$9994,17)</f>
        <v>8</v>
      </c>
      <c r="R83" s="22">
        <f>VLOOKUP($A83,'MG Universe'!$A$2:$R$9994,18)</f>
        <v>15.38</v>
      </c>
    </row>
    <row r="84" spans="1:18" x14ac:dyDescent="0.55000000000000004">
      <c r="A84" s="18" t="s">
        <v>736</v>
      </c>
      <c r="B84" s="19" t="str">
        <f>VLOOKUP($A84,'MG Universe'!$A$2:$R$9994,2)</f>
        <v>Crown Castle International Corp</v>
      </c>
      <c r="C84" s="19" t="str">
        <f>VLOOKUP($A84,'MG Universe'!$A$2:$R$9994,3)</f>
        <v>D</v>
      </c>
      <c r="D84" s="19" t="str">
        <f>VLOOKUP($A84,'MG Universe'!$A$2:$R$9994,4)</f>
        <v>S</v>
      </c>
      <c r="E84" s="19" t="str">
        <f>VLOOKUP($A84,'MG Universe'!$A$2:$R$9994,5)</f>
        <v>O</v>
      </c>
      <c r="F84" s="20" t="str">
        <f>VLOOKUP($A84,'MG Universe'!$A$2:$R$9994,6)</f>
        <v>SO</v>
      </c>
      <c r="G84" s="103">
        <f>VLOOKUP($A84,'MG Universe'!$A$2:$R$9994,7)</f>
        <v>42131</v>
      </c>
      <c r="H84" s="22">
        <f>VLOOKUP($A84,'MG Universe'!$A$2:$R$9994,8)</f>
        <v>72.349999999999994</v>
      </c>
      <c r="I84" s="22">
        <f>VLOOKUP($A84,'MG Universe'!$A$2:$R$9994,9)</f>
        <v>88.41</v>
      </c>
      <c r="J84" s="23">
        <f>VLOOKUP($A84,'MG Universe'!$A$2:$R$9994,10)</f>
        <v>1.222</v>
      </c>
      <c r="K84" s="105">
        <f>VLOOKUP($A84,'MG Universe'!$A$2:$R$9994,11)</f>
        <v>47.03</v>
      </c>
      <c r="L84" s="23">
        <f>VLOOKUP($A84,'MG Universe'!$A$2:$R$9994,12)</f>
        <v>0.04</v>
      </c>
      <c r="M84" s="106">
        <f>VLOOKUP($A84,'MG Universe'!$A$2:$R$9994,13)</f>
        <v>0.4</v>
      </c>
      <c r="N84" s="107">
        <f>VLOOKUP($A84,'MG Universe'!$A$2:$R$9994,14)</f>
        <v>1.1299999999999999</v>
      </c>
      <c r="O84" s="22">
        <f>VLOOKUP($A84,'MG Universe'!$A$2:$R$9994,15)</f>
        <v>-40.9</v>
      </c>
      <c r="P84" s="23">
        <f>VLOOKUP($A84,'MG Universe'!$A$2:$R$9994,16)</f>
        <v>0.19259999999999999</v>
      </c>
      <c r="Q84" s="109">
        <f>VLOOKUP($A84,'MG Universe'!$A$2:$R$9994,17)</f>
        <v>0</v>
      </c>
      <c r="R84" s="22">
        <f>VLOOKUP($A84,'MG Universe'!$A$2:$R$9994,18)</f>
        <v>0</v>
      </c>
    </row>
    <row r="85" spans="1:18" x14ac:dyDescent="0.55000000000000004">
      <c r="A85" s="18" t="s">
        <v>862</v>
      </c>
      <c r="B85" s="19" t="str">
        <f>VLOOKUP($A85,'MG Universe'!$A$2:$R$9994,2)</f>
        <v>Carnival Corp</v>
      </c>
      <c r="C85" s="19" t="str">
        <f>VLOOKUP($A85,'MG Universe'!$A$2:$R$9994,3)</f>
        <v>D+</v>
      </c>
      <c r="D85" s="19" t="str">
        <f>VLOOKUP($A85,'MG Universe'!$A$2:$R$9994,4)</f>
        <v>S</v>
      </c>
      <c r="E85" s="19" t="str">
        <f>VLOOKUP($A85,'MG Universe'!$A$2:$R$9994,5)</f>
        <v>O</v>
      </c>
      <c r="F85" s="20" t="str">
        <f>VLOOKUP($A85,'MG Universe'!$A$2:$R$9994,6)</f>
        <v>SO</v>
      </c>
      <c r="G85" s="103">
        <f>VLOOKUP($A85,'MG Universe'!$A$2:$R$9994,7)</f>
        <v>42101</v>
      </c>
      <c r="H85" s="22">
        <f>VLOOKUP($A85,'MG Universe'!$A$2:$R$9994,8)</f>
        <v>1.95</v>
      </c>
      <c r="I85" s="22">
        <f>VLOOKUP($A85,'MG Universe'!$A$2:$R$9994,9)</f>
        <v>48.17</v>
      </c>
      <c r="J85" s="23">
        <f>VLOOKUP($A85,'MG Universe'!$A$2:$R$9994,10)</f>
        <v>24.7026</v>
      </c>
      <c r="K85" s="105">
        <f>VLOOKUP($A85,'MG Universe'!$A$2:$R$9994,11)</f>
        <v>25.62</v>
      </c>
      <c r="L85" s="23">
        <f>VLOOKUP($A85,'MG Universe'!$A$2:$R$9994,12)</f>
        <v>2.4899999999999999E-2</v>
      </c>
      <c r="M85" s="106">
        <f>VLOOKUP($A85,'MG Universe'!$A$2:$R$9994,13)</f>
        <v>0.8</v>
      </c>
      <c r="N85" s="107">
        <f>VLOOKUP($A85,'MG Universe'!$A$2:$R$9994,14)</f>
        <v>0.19</v>
      </c>
      <c r="O85" s="22">
        <f>VLOOKUP($A85,'MG Universe'!$A$2:$R$9994,15)</f>
        <v>-17.89</v>
      </c>
      <c r="P85" s="23">
        <f>VLOOKUP($A85,'MG Universe'!$A$2:$R$9994,16)</f>
        <v>8.5599999999999996E-2</v>
      </c>
      <c r="Q85" s="109">
        <f>VLOOKUP($A85,'MG Universe'!$A$2:$R$9994,17)</f>
        <v>0</v>
      </c>
      <c r="R85" s="22">
        <f>VLOOKUP($A85,'MG Universe'!$A$2:$R$9994,18)</f>
        <v>0</v>
      </c>
    </row>
    <row r="86" spans="1:18" x14ac:dyDescent="0.55000000000000004">
      <c r="A86" s="18" t="s">
        <v>1055</v>
      </c>
      <c r="B86" s="19" t="str">
        <f>VLOOKUP($A86,'MG Universe'!$A$2:$R$9994,2)</f>
        <v>Celgene Corporation</v>
      </c>
      <c r="C86" s="19" t="str">
        <f>VLOOKUP($A86,'MG Universe'!$A$2:$R$9994,3)</f>
        <v>F</v>
      </c>
      <c r="D86" s="19" t="str">
        <f>VLOOKUP($A86,'MG Universe'!$A$2:$R$9994,4)</f>
        <v>S</v>
      </c>
      <c r="E86" s="19" t="str">
        <f>VLOOKUP($A86,'MG Universe'!$A$2:$R$9994,5)</f>
        <v>O</v>
      </c>
      <c r="F86" s="20" t="str">
        <f>VLOOKUP($A86,'MG Universe'!$A$2:$R$9994,6)</f>
        <v>SO</v>
      </c>
      <c r="G86" s="103">
        <f>VLOOKUP($A86,'MG Universe'!$A$2:$R$9994,7)</f>
        <v>42349</v>
      </c>
      <c r="H86" s="22">
        <f>VLOOKUP($A86,'MG Universe'!$A$2:$R$9994,8)</f>
        <v>79.5</v>
      </c>
      <c r="I86" s="22">
        <f>VLOOKUP($A86,'MG Universe'!$A$2:$R$9994,9)</f>
        <v>104.73</v>
      </c>
      <c r="J86" s="23">
        <f>VLOOKUP($A86,'MG Universe'!$A$2:$R$9994,10)</f>
        <v>1.3173999999999999</v>
      </c>
      <c r="K86" s="105">
        <f>VLOOKUP($A86,'MG Universe'!$A$2:$R$9994,11)</f>
        <v>50.59</v>
      </c>
      <c r="L86" s="23" t="str">
        <f>VLOOKUP($A86,'MG Universe'!$A$2:$R$9994,12)</f>
        <v>N/A</v>
      </c>
      <c r="M86" s="106">
        <f>VLOOKUP($A86,'MG Universe'!$A$2:$R$9994,13)</f>
        <v>1.3</v>
      </c>
      <c r="N86" s="107">
        <f>VLOOKUP($A86,'MG Universe'!$A$2:$R$9994,14)</f>
        <v>3.23</v>
      </c>
      <c r="O86" s="22">
        <f>VLOOKUP($A86,'MG Universe'!$A$2:$R$9994,15)</f>
        <v>-14.97</v>
      </c>
      <c r="P86" s="23">
        <f>VLOOKUP($A86,'MG Universe'!$A$2:$R$9994,16)</f>
        <v>0.21049999999999999</v>
      </c>
      <c r="Q86" s="109">
        <f>VLOOKUP($A86,'MG Universe'!$A$2:$R$9994,17)</f>
        <v>0</v>
      </c>
      <c r="R86" s="22">
        <f>VLOOKUP($A86,'MG Universe'!$A$2:$R$9994,18)</f>
        <v>18.920000000000002</v>
      </c>
    </row>
    <row r="87" spans="1:18" x14ac:dyDescent="0.55000000000000004">
      <c r="A87" s="18" t="s">
        <v>369</v>
      </c>
      <c r="B87" s="19" t="str">
        <f>VLOOKUP($A87,'MG Universe'!$A$2:$R$9994,2)</f>
        <v>Cerner Corporation</v>
      </c>
      <c r="C87" s="19" t="str">
        <f>VLOOKUP($A87,'MG Universe'!$A$2:$R$9994,3)</f>
        <v>C</v>
      </c>
      <c r="D87" s="19" t="str">
        <f>VLOOKUP($A87,'MG Universe'!$A$2:$R$9994,4)</f>
        <v>E</v>
      </c>
      <c r="E87" s="19" t="str">
        <f>VLOOKUP($A87,'MG Universe'!$A$2:$R$9994,5)</f>
        <v>F</v>
      </c>
      <c r="F87" s="20" t="str">
        <f>VLOOKUP($A87,'MG Universe'!$A$2:$R$9994,6)</f>
        <v>EF</v>
      </c>
      <c r="G87" s="103">
        <f>VLOOKUP($A87,'MG Universe'!$A$2:$R$9994,7)</f>
        <v>42402</v>
      </c>
      <c r="H87" s="22">
        <f>VLOOKUP($A87,'MG Universe'!$A$2:$R$9994,8)</f>
        <v>51.74</v>
      </c>
      <c r="I87" s="22">
        <f>VLOOKUP($A87,'MG Universe'!$A$2:$R$9994,9)</f>
        <v>51.3</v>
      </c>
      <c r="J87" s="23">
        <f>VLOOKUP($A87,'MG Universe'!$A$2:$R$9994,10)</f>
        <v>0.99150000000000005</v>
      </c>
      <c r="K87" s="105">
        <f>VLOOKUP($A87,'MG Universe'!$A$2:$R$9994,11)</f>
        <v>37.450000000000003</v>
      </c>
      <c r="L87" s="23" t="str">
        <f>VLOOKUP($A87,'MG Universe'!$A$2:$R$9994,12)</f>
        <v>N/A</v>
      </c>
      <c r="M87" s="106">
        <f>VLOOKUP($A87,'MG Universe'!$A$2:$R$9994,13)</f>
        <v>0.6</v>
      </c>
      <c r="N87" s="107">
        <f>VLOOKUP($A87,'MG Universe'!$A$2:$R$9994,14)</f>
        <v>2.15</v>
      </c>
      <c r="O87" s="22">
        <f>VLOOKUP($A87,'MG Universe'!$A$2:$R$9994,15)</f>
        <v>0.34</v>
      </c>
      <c r="P87" s="23">
        <f>VLOOKUP($A87,'MG Universe'!$A$2:$R$9994,16)</f>
        <v>0.1447</v>
      </c>
      <c r="Q87" s="109">
        <f>VLOOKUP($A87,'MG Universe'!$A$2:$R$9994,17)</f>
        <v>0</v>
      </c>
      <c r="R87" s="22">
        <f>VLOOKUP($A87,'MG Universe'!$A$2:$R$9994,18)</f>
        <v>20.16</v>
      </c>
    </row>
    <row r="88" spans="1:18" x14ac:dyDescent="0.55000000000000004">
      <c r="A88" s="18" t="s">
        <v>40</v>
      </c>
      <c r="B88" s="19" t="str">
        <f>VLOOKUP($A88,'MG Universe'!$A$2:$R$9994,2)</f>
        <v>CF Industries Holdings, Inc.</v>
      </c>
      <c r="C88" s="19" t="str">
        <f>VLOOKUP($A88,'MG Universe'!$A$2:$R$9994,3)</f>
        <v>A</v>
      </c>
      <c r="D88" s="19" t="str">
        <f>VLOOKUP($A88,'MG Universe'!$A$2:$R$9994,4)</f>
        <v>D</v>
      </c>
      <c r="E88" s="19" t="str">
        <f>VLOOKUP($A88,'MG Universe'!$A$2:$R$9994,5)</f>
        <v>U</v>
      </c>
      <c r="F88" s="20" t="str">
        <f>VLOOKUP($A88,'MG Universe'!$A$2:$R$9994,6)</f>
        <v>DU</v>
      </c>
      <c r="G88" s="103">
        <f>VLOOKUP($A88,'MG Universe'!$A$2:$R$9994,7)</f>
        <v>42271</v>
      </c>
      <c r="H88" s="22">
        <f>VLOOKUP($A88,'MG Universe'!$A$2:$R$9994,8)</f>
        <v>172.75</v>
      </c>
      <c r="I88" s="22">
        <f>VLOOKUP($A88,'MG Universe'!$A$2:$R$9994,9)</f>
        <v>34.729999999999997</v>
      </c>
      <c r="J88" s="23">
        <f>VLOOKUP($A88,'MG Universe'!$A$2:$R$9994,10)</f>
        <v>0.20100000000000001</v>
      </c>
      <c r="K88" s="105">
        <f>VLOOKUP($A88,'MG Universe'!$A$2:$R$9994,11)</f>
        <v>7.31</v>
      </c>
      <c r="L88" s="23">
        <f>VLOOKUP($A88,'MG Universe'!$A$2:$R$9994,12)</f>
        <v>3.4599999999999999E-2</v>
      </c>
      <c r="M88" s="106">
        <f>VLOOKUP($A88,'MG Universe'!$A$2:$R$9994,13)</f>
        <v>1.8</v>
      </c>
      <c r="N88" s="107">
        <f>VLOOKUP($A88,'MG Universe'!$A$2:$R$9994,14)</f>
        <v>1.81</v>
      </c>
      <c r="O88" s="22">
        <f>VLOOKUP($A88,'MG Universe'!$A$2:$R$9994,15)</f>
        <v>-23.36</v>
      </c>
      <c r="P88" s="23">
        <f>VLOOKUP($A88,'MG Universe'!$A$2:$R$9994,16)</f>
        <v>-5.8999999999999999E-3</v>
      </c>
      <c r="Q88" s="109">
        <f>VLOOKUP($A88,'MG Universe'!$A$2:$R$9994,17)</f>
        <v>5</v>
      </c>
      <c r="R88" s="22">
        <f>VLOOKUP($A88,'MG Universe'!$A$2:$R$9994,18)</f>
        <v>38.659999999999997</v>
      </c>
    </row>
    <row r="89" spans="1:18" x14ac:dyDescent="0.55000000000000004">
      <c r="A89" s="18" t="s">
        <v>498</v>
      </c>
      <c r="B89" s="19" t="str">
        <f>VLOOKUP($A89,'MG Universe'!$A$2:$R$9994,2)</f>
        <v>Chesapeake Energy Corporation</v>
      </c>
      <c r="C89" s="19" t="str">
        <f>VLOOKUP($A89,'MG Universe'!$A$2:$R$9994,3)</f>
        <v>C-</v>
      </c>
      <c r="D89" s="19" t="str">
        <f>VLOOKUP($A89,'MG Universe'!$A$2:$R$9994,4)</f>
        <v>S</v>
      </c>
      <c r="E89" s="19" t="str">
        <f>VLOOKUP($A89,'MG Universe'!$A$2:$R$9994,5)</f>
        <v>U</v>
      </c>
      <c r="F89" s="20" t="str">
        <f>VLOOKUP($A89,'MG Universe'!$A$2:$R$9994,6)</f>
        <v>SU</v>
      </c>
      <c r="G89" s="103">
        <f>VLOOKUP($A89,'MG Universe'!$A$2:$R$9994,7)</f>
        <v>42029</v>
      </c>
      <c r="H89" s="22">
        <f>VLOOKUP($A89,'MG Universe'!$A$2:$R$9994,8)</f>
        <v>33.979999999999997</v>
      </c>
      <c r="I89" s="22">
        <f>VLOOKUP($A89,'MG Universe'!$A$2:$R$9994,9)</f>
        <v>3.41</v>
      </c>
      <c r="J89" s="23">
        <f>VLOOKUP($A89,'MG Universe'!$A$2:$R$9994,10)</f>
        <v>0.1004</v>
      </c>
      <c r="K89" s="105">
        <f>VLOOKUP($A89,'MG Universe'!$A$2:$R$9994,11)</f>
        <v>3.88</v>
      </c>
      <c r="L89" s="23" t="str">
        <f>VLOOKUP($A89,'MG Universe'!$A$2:$R$9994,12)</f>
        <v>N/A</v>
      </c>
      <c r="M89" s="106">
        <f>VLOOKUP($A89,'MG Universe'!$A$2:$R$9994,13)</f>
        <v>1.4</v>
      </c>
      <c r="N89" s="107">
        <f>VLOOKUP($A89,'MG Universe'!$A$2:$R$9994,14)</f>
        <v>0.56000000000000005</v>
      </c>
      <c r="O89" s="22">
        <f>VLOOKUP($A89,'MG Universe'!$A$2:$R$9994,15)</f>
        <v>-31.92</v>
      </c>
      <c r="P89" s="23">
        <f>VLOOKUP($A89,'MG Universe'!$A$2:$R$9994,16)</f>
        <v>-2.3099999999999999E-2</v>
      </c>
      <c r="Q89" s="109">
        <f>VLOOKUP($A89,'MG Universe'!$A$2:$R$9994,17)</f>
        <v>0</v>
      </c>
      <c r="R89" s="22">
        <f>VLOOKUP($A89,'MG Universe'!$A$2:$R$9994,18)</f>
        <v>0</v>
      </c>
    </row>
    <row r="90" spans="1:18" x14ac:dyDescent="0.55000000000000004">
      <c r="A90" s="18" t="s">
        <v>738</v>
      </c>
      <c r="B90" s="19" t="str">
        <f>VLOOKUP($A90,'MG Universe'!$A$2:$R$9994,2)</f>
        <v>C.H. Robinson Worldwide, Inc.</v>
      </c>
      <c r="C90" s="19" t="str">
        <f>VLOOKUP($A90,'MG Universe'!$A$2:$R$9994,3)</f>
        <v>D</v>
      </c>
      <c r="D90" s="19" t="str">
        <f>VLOOKUP($A90,'MG Universe'!$A$2:$R$9994,4)</f>
        <v>S</v>
      </c>
      <c r="E90" s="19" t="str">
        <f>VLOOKUP($A90,'MG Universe'!$A$2:$R$9994,5)</f>
        <v>O</v>
      </c>
      <c r="F90" s="20" t="str">
        <f>VLOOKUP($A90,'MG Universe'!$A$2:$R$9994,6)</f>
        <v>SO</v>
      </c>
      <c r="G90" s="103">
        <f>VLOOKUP($A90,'MG Universe'!$A$2:$R$9994,7)</f>
        <v>42208</v>
      </c>
      <c r="H90" s="22">
        <f>VLOOKUP($A90,'MG Universe'!$A$2:$R$9994,8)</f>
        <v>55.03</v>
      </c>
      <c r="I90" s="22">
        <f>VLOOKUP($A90,'MG Universe'!$A$2:$R$9994,9)</f>
        <v>71.41</v>
      </c>
      <c r="J90" s="23">
        <f>VLOOKUP($A90,'MG Universe'!$A$2:$R$9994,10)</f>
        <v>1.2977000000000001</v>
      </c>
      <c r="K90" s="105">
        <f>VLOOKUP($A90,'MG Universe'!$A$2:$R$9994,11)</f>
        <v>23.34</v>
      </c>
      <c r="L90" s="23">
        <f>VLOOKUP($A90,'MG Universe'!$A$2:$R$9994,12)</f>
        <v>2.41E-2</v>
      </c>
      <c r="M90" s="106">
        <f>VLOOKUP($A90,'MG Universe'!$A$2:$R$9994,13)</f>
        <v>0.3</v>
      </c>
      <c r="N90" s="107">
        <f>VLOOKUP($A90,'MG Universe'!$A$2:$R$9994,14)</f>
        <v>1.1200000000000001</v>
      </c>
      <c r="O90" s="22">
        <f>VLOOKUP($A90,'MG Universe'!$A$2:$R$9994,15)</f>
        <v>-2.76</v>
      </c>
      <c r="P90" s="23">
        <f>VLOOKUP($A90,'MG Universe'!$A$2:$R$9994,16)</f>
        <v>7.4200000000000002E-2</v>
      </c>
      <c r="Q90" s="109">
        <f>VLOOKUP($A90,'MG Universe'!$A$2:$R$9994,17)</f>
        <v>0</v>
      </c>
      <c r="R90" s="22">
        <f>VLOOKUP($A90,'MG Universe'!$A$2:$R$9994,18)</f>
        <v>0</v>
      </c>
    </row>
    <row r="91" spans="1:18" x14ac:dyDescent="0.55000000000000004">
      <c r="A91" s="18" t="s">
        <v>653</v>
      </c>
      <c r="B91" s="19" t="str">
        <f>VLOOKUP($A91,'MG Universe'!$A$2:$R$9994,2)</f>
        <v>CIGNA Corporation</v>
      </c>
      <c r="C91" s="19" t="str">
        <f>VLOOKUP($A91,'MG Universe'!$A$2:$R$9994,3)</f>
        <v>C+</v>
      </c>
      <c r="D91" s="19" t="str">
        <f>VLOOKUP($A91,'MG Universe'!$A$2:$R$9994,4)</f>
        <v>E</v>
      </c>
      <c r="E91" s="19" t="str">
        <f>VLOOKUP($A91,'MG Universe'!$A$2:$R$9994,5)</f>
        <v>U</v>
      </c>
      <c r="F91" s="20" t="str">
        <f>VLOOKUP($A91,'MG Universe'!$A$2:$R$9994,6)</f>
        <v>EU</v>
      </c>
      <c r="G91" s="103">
        <f>VLOOKUP($A91,'MG Universe'!$A$2:$R$9994,7)</f>
        <v>42399</v>
      </c>
      <c r="H91" s="22">
        <f>VLOOKUP($A91,'MG Universe'!$A$2:$R$9994,8)</f>
        <v>197.09</v>
      </c>
      <c r="I91" s="22">
        <f>VLOOKUP($A91,'MG Universe'!$A$2:$R$9994,9)</f>
        <v>140.5</v>
      </c>
      <c r="J91" s="23">
        <f>VLOOKUP($A91,'MG Universe'!$A$2:$R$9994,10)</f>
        <v>0.71289999999999998</v>
      </c>
      <c r="K91" s="105">
        <f>VLOOKUP($A91,'MG Universe'!$A$2:$R$9994,11)</f>
        <v>20.420000000000002</v>
      </c>
      <c r="L91" s="23">
        <f>VLOOKUP($A91,'MG Universe'!$A$2:$R$9994,12)</f>
        <v>2.9999999999999997E-4</v>
      </c>
      <c r="M91" s="106">
        <f>VLOOKUP($A91,'MG Universe'!$A$2:$R$9994,13)</f>
        <v>0.7</v>
      </c>
      <c r="N91" s="107" t="str">
        <f>VLOOKUP($A91,'MG Universe'!$A$2:$R$9994,14)</f>
        <v>N/A</v>
      </c>
      <c r="O91" s="22" t="str">
        <f>VLOOKUP($A91,'MG Universe'!$A$2:$R$9994,15)</f>
        <v>N/A</v>
      </c>
      <c r="P91" s="23">
        <f>VLOOKUP($A91,'MG Universe'!$A$2:$R$9994,16)</f>
        <v>5.96E-2</v>
      </c>
      <c r="Q91" s="109">
        <f>VLOOKUP($A91,'MG Universe'!$A$2:$R$9994,17)</f>
        <v>0</v>
      </c>
      <c r="R91" s="22">
        <f>VLOOKUP($A91,'MG Universe'!$A$2:$R$9994,18)</f>
        <v>91.29</v>
      </c>
    </row>
    <row r="92" spans="1:18" x14ac:dyDescent="0.55000000000000004">
      <c r="A92" s="18" t="s">
        <v>157</v>
      </c>
      <c r="B92" s="19" t="str">
        <f>VLOOKUP($A92,'MG Universe'!$A$2:$R$9994,2)</f>
        <v>Cincinnati Financial Corporation</v>
      </c>
      <c r="C92" s="19" t="str">
        <f>VLOOKUP($A92,'MG Universe'!$A$2:$R$9994,3)</f>
        <v>B</v>
      </c>
      <c r="D92" s="19" t="str">
        <f>VLOOKUP($A92,'MG Universe'!$A$2:$R$9994,4)</f>
        <v>E</v>
      </c>
      <c r="E92" s="19" t="str">
        <f>VLOOKUP($A92,'MG Universe'!$A$2:$R$9994,5)</f>
        <v>F</v>
      </c>
      <c r="F92" s="20" t="str">
        <f>VLOOKUP($A92,'MG Universe'!$A$2:$R$9994,6)</f>
        <v>EF</v>
      </c>
      <c r="G92" s="103">
        <f>VLOOKUP($A92,'MG Universe'!$A$2:$R$9994,7)</f>
        <v>42314</v>
      </c>
      <c r="H92" s="22">
        <f>VLOOKUP($A92,'MG Universe'!$A$2:$R$9994,8)</f>
        <v>68.040000000000006</v>
      </c>
      <c r="I92" s="22">
        <f>VLOOKUP($A92,'MG Universe'!$A$2:$R$9994,9)</f>
        <v>64.25</v>
      </c>
      <c r="J92" s="23">
        <f>VLOOKUP($A92,'MG Universe'!$A$2:$R$9994,10)</f>
        <v>0.94430000000000003</v>
      </c>
      <c r="K92" s="105">
        <f>VLOOKUP($A92,'MG Universe'!$A$2:$R$9994,11)</f>
        <v>20.59</v>
      </c>
      <c r="L92" s="23">
        <f>VLOOKUP($A92,'MG Universe'!$A$2:$R$9994,12)</f>
        <v>2.9899999999999999E-2</v>
      </c>
      <c r="M92" s="106">
        <f>VLOOKUP($A92,'MG Universe'!$A$2:$R$9994,13)</f>
        <v>0.8</v>
      </c>
      <c r="N92" s="107" t="str">
        <f>VLOOKUP($A92,'MG Universe'!$A$2:$R$9994,14)</f>
        <v>N/A</v>
      </c>
      <c r="O92" s="22" t="str">
        <f>VLOOKUP($A92,'MG Universe'!$A$2:$R$9994,15)</f>
        <v>N/A</v>
      </c>
      <c r="P92" s="23">
        <f>VLOOKUP($A92,'MG Universe'!$A$2:$R$9994,16)</f>
        <v>6.0499999999999998E-2</v>
      </c>
      <c r="Q92" s="109">
        <f>VLOOKUP($A92,'MG Universe'!$A$2:$R$9994,17)</f>
        <v>20</v>
      </c>
      <c r="R92" s="22">
        <f>VLOOKUP($A92,'MG Universe'!$A$2:$R$9994,18)</f>
        <v>56.97</v>
      </c>
    </row>
    <row r="93" spans="1:18" x14ac:dyDescent="0.55000000000000004">
      <c r="A93" s="18" t="s">
        <v>500</v>
      </c>
      <c r="B93" s="19" t="str">
        <f>VLOOKUP($A93,'MG Universe'!$A$2:$R$9994,2)</f>
        <v>Colgate-Palmolive Company</v>
      </c>
      <c r="C93" s="19" t="str">
        <f>VLOOKUP($A93,'MG Universe'!$A$2:$R$9994,3)</f>
        <v>C-</v>
      </c>
      <c r="D93" s="19" t="str">
        <f>VLOOKUP($A93,'MG Universe'!$A$2:$R$9994,4)</f>
        <v>S</v>
      </c>
      <c r="E93" s="19" t="str">
        <f>VLOOKUP($A93,'MG Universe'!$A$2:$R$9994,5)</f>
        <v>O</v>
      </c>
      <c r="F93" s="20" t="str">
        <f>VLOOKUP($A93,'MG Universe'!$A$2:$R$9994,6)</f>
        <v>SO</v>
      </c>
      <c r="G93" s="103">
        <f>VLOOKUP($A93,'MG Universe'!$A$2:$R$9994,7)</f>
        <v>42396</v>
      </c>
      <c r="H93" s="22">
        <f>VLOOKUP($A93,'MG Universe'!$A$2:$R$9994,8)</f>
        <v>32.950000000000003</v>
      </c>
      <c r="I93" s="22">
        <f>VLOOKUP($A93,'MG Universe'!$A$2:$R$9994,9)</f>
        <v>67.08</v>
      </c>
      <c r="J93" s="23">
        <f>VLOOKUP($A93,'MG Universe'!$A$2:$R$9994,10)</f>
        <v>2.0358000000000001</v>
      </c>
      <c r="K93" s="105">
        <f>VLOOKUP($A93,'MG Universe'!$A$2:$R$9994,11)</f>
        <v>26.62</v>
      </c>
      <c r="L93" s="23">
        <f>VLOOKUP($A93,'MG Universe'!$A$2:$R$9994,12)</f>
        <v>2.2700000000000001E-2</v>
      </c>
      <c r="M93" s="106">
        <f>VLOOKUP($A93,'MG Universe'!$A$2:$R$9994,13)</f>
        <v>0.5</v>
      </c>
      <c r="N93" s="107">
        <f>VLOOKUP($A93,'MG Universe'!$A$2:$R$9994,14)</f>
        <v>1.29</v>
      </c>
      <c r="O93" s="22">
        <f>VLOOKUP($A93,'MG Universe'!$A$2:$R$9994,15)</f>
        <v>-9.06</v>
      </c>
      <c r="P93" s="23">
        <f>VLOOKUP($A93,'MG Universe'!$A$2:$R$9994,16)</f>
        <v>9.06E-2</v>
      </c>
      <c r="Q93" s="109">
        <f>VLOOKUP($A93,'MG Universe'!$A$2:$R$9994,17)</f>
        <v>20</v>
      </c>
      <c r="R93" s="22">
        <f>VLOOKUP($A93,'MG Universe'!$A$2:$R$9994,18)</f>
        <v>4.1399999999999997</v>
      </c>
    </row>
    <row r="94" spans="1:18" x14ac:dyDescent="0.55000000000000004">
      <c r="A94" s="18" t="s">
        <v>502</v>
      </c>
      <c r="B94" s="19" t="str">
        <f>VLOOKUP($A94,'MG Universe'!$A$2:$R$9994,2)</f>
        <v>Clorox Co</v>
      </c>
      <c r="C94" s="19" t="str">
        <f>VLOOKUP($A94,'MG Universe'!$A$2:$R$9994,3)</f>
        <v>C-</v>
      </c>
      <c r="D94" s="19" t="str">
        <f>VLOOKUP($A94,'MG Universe'!$A$2:$R$9994,4)</f>
        <v>S</v>
      </c>
      <c r="E94" s="19" t="str">
        <f>VLOOKUP($A94,'MG Universe'!$A$2:$R$9994,5)</f>
        <v>O</v>
      </c>
      <c r="F94" s="20" t="str">
        <f>VLOOKUP($A94,'MG Universe'!$A$2:$R$9994,6)</f>
        <v>SO</v>
      </c>
      <c r="G94" s="103">
        <f>VLOOKUP($A94,'MG Universe'!$A$2:$R$9994,7)</f>
        <v>42257</v>
      </c>
      <c r="H94" s="22">
        <f>VLOOKUP($A94,'MG Universe'!$A$2:$R$9994,8)</f>
        <v>52</v>
      </c>
      <c r="I94" s="22">
        <f>VLOOKUP($A94,'MG Universe'!$A$2:$R$9994,9)</f>
        <v>126.06</v>
      </c>
      <c r="J94" s="23">
        <f>VLOOKUP($A94,'MG Universe'!$A$2:$R$9994,10)</f>
        <v>2.4241999999999999</v>
      </c>
      <c r="K94" s="105">
        <f>VLOOKUP($A94,'MG Universe'!$A$2:$R$9994,11)</f>
        <v>28.39</v>
      </c>
      <c r="L94" s="23">
        <f>VLOOKUP($A94,'MG Universe'!$A$2:$R$9994,12)</f>
        <v>2.4400000000000002E-2</v>
      </c>
      <c r="M94" s="106">
        <f>VLOOKUP($A94,'MG Universe'!$A$2:$R$9994,13)</f>
        <v>0.4</v>
      </c>
      <c r="N94" s="107">
        <f>VLOOKUP($A94,'MG Universe'!$A$2:$R$9994,14)</f>
        <v>1.02</v>
      </c>
      <c r="O94" s="22">
        <f>VLOOKUP($A94,'MG Universe'!$A$2:$R$9994,15)</f>
        <v>-19.850000000000001</v>
      </c>
      <c r="P94" s="23">
        <f>VLOOKUP($A94,'MG Universe'!$A$2:$R$9994,16)</f>
        <v>9.9500000000000005E-2</v>
      </c>
      <c r="Q94" s="109">
        <f>VLOOKUP($A94,'MG Universe'!$A$2:$R$9994,17)</f>
        <v>20</v>
      </c>
      <c r="R94" s="22">
        <f>VLOOKUP($A94,'MG Universe'!$A$2:$R$9994,18)</f>
        <v>9.91</v>
      </c>
    </row>
    <row r="95" spans="1:18" x14ac:dyDescent="0.55000000000000004">
      <c r="A95" s="18" t="s">
        <v>94</v>
      </c>
      <c r="B95" s="19" t="str">
        <f>VLOOKUP($A95,'MG Universe'!$A$2:$R$9994,2)</f>
        <v>Comerica Incorporated</v>
      </c>
      <c r="C95" s="19" t="str">
        <f>VLOOKUP($A95,'MG Universe'!$A$2:$R$9994,3)</f>
        <v>A-</v>
      </c>
      <c r="D95" s="19" t="str">
        <f>VLOOKUP($A95,'MG Universe'!$A$2:$R$9994,4)</f>
        <v>E</v>
      </c>
      <c r="E95" s="19" t="str">
        <f>VLOOKUP($A95,'MG Universe'!$A$2:$R$9994,5)</f>
        <v>U</v>
      </c>
      <c r="F95" s="20" t="str">
        <f>VLOOKUP($A95,'MG Universe'!$A$2:$R$9994,6)</f>
        <v>EU</v>
      </c>
      <c r="G95" s="103">
        <f>VLOOKUP($A95,'MG Universe'!$A$2:$R$9994,7)</f>
        <v>42415</v>
      </c>
      <c r="H95" s="22">
        <f>VLOOKUP($A95,'MG Universe'!$A$2:$R$9994,8)</f>
        <v>95.18</v>
      </c>
      <c r="I95" s="22">
        <f>VLOOKUP($A95,'MG Universe'!$A$2:$R$9994,9)</f>
        <v>35.79</v>
      </c>
      <c r="J95" s="23">
        <f>VLOOKUP($A95,'MG Universe'!$A$2:$R$9994,10)</f>
        <v>0.376</v>
      </c>
      <c r="K95" s="105">
        <f>VLOOKUP($A95,'MG Universe'!$A$2:$R$9994,11)</f>
        <v>12.34</v>
      </c>
      <c r="L95" s="23">
        <f>VLOOKUP($A95,'MG Universe'!$A$2:$R$9994,12)</f>
        <v>2.35E-2</v>
      </c>
      <c r="M95" s="106">
        <f>VLOOKUP($A95,'MG Universe'!$A$2:$R$9994,13)</f>
        <v>1.5</v>
      </c>
      <c r="N95" s="107" t="str">
        <f>VLOOKUP($A95,'MG Universe'!$A$2:$R$9994,14)</f>
        <v>N/A</v>
      </c>
      <c r="O95" s="22" t="str">
        <f>VLOOKUP($A95,'MG Universe'!$A$2:$R$9994,15)</f>
        <v>N/A</v>
      </c>
      <c r="P95" s="23">
        <f>VLOOKUP($A95,'MG Universe'!$A$2:$R$9994,16)</f>
        <v>1.9199999999999998E-2</v>
      </c>
      <c r="Q95" s="109">
        <f>VLOOKUP($A95,'MG Universe'!$A$2:$R$9994,17)</f>
        <v>7</v>
      </c>
      <c r="R95" s="22">
        <f>VLOOKUP($A95,'MG Universe'!$A$2:$R$9994,18)</f>
        <v>51.96</v>
      </c>
    </row>
    <row r="96" spans="1:18" x14ac:dyDescent="0.55000000000000004">
      <c r="A96" s="18" t="s">
        <v>504</v>
      </c>
      <c r="B96" s="19" t="str">
        <f>VLOOKUP($A96,'MG Universe'!$A$2:$R$9994,2)</f>
        <v>Comcast Corporation</v>
      </c>
      <c r="C96" s="19" t="str">
        <f>VLOOKUP($A96,'MG Universe'!$A$2:$R$9994,3)</f>
        <v>C-</v>
      </c>
      <c r="D96" s="19" t="str">
        <f>VLOOKUP($A96,'MG Universe'!$A$2:$R$9994,4)</f>
        <v>S</v>
      </c>
      <c r="E96" s="19" t="str">
        <f>VLOOKUP($A96,'MG Universe'!$A$2:$R$9994,5)</f>
        <v>U</v>
      </c>
      <c r="F96" s="20" t="str">
        <f>VLOOKUP($A96,'MG Universe'!$A$2:$R$9994,6)</f>
        <v>SU</v>
      </c>
      <c r="G96" s="103">
        <f>VLOOKUP($A96,'MG Universe'!$A$2:$R$9994,7)</f>
        <v>42029</v>
      </c>
      <c r="H96" s="22">
        <f>VLOOKUP($A96,'MG Universe'!$A$2:$R$9994,8)</f>
        <v>92.71</v>
      </c>
      <c r="I96" s="22">
        <f>VLOOKUP($A96,'MG Universe'!$A$2:$R$9994,9)</f>
        <v>59.37</v>
      </c>
      <c r="J96" s="23">
        <f>VLOOKUP($A96,'MG Universe'!$A$2:$R$9994,10)</f>
        <v>0.64039999999999997</v>
      </c>
      <c r="K96" s="105">
        <f>VLOOKUP($A96,'MG Universe'!$A$2:$R$9994,11)</f>
        <v>24.63</v>
      </c>
      <c r="L96" s="23">
        <f>VLOOKUP($A96,'MG Universe'!$A$2:$R$9994,12)</f>
        <v>1.8499999999999999E-2</v>
      </c>
      <c r="M96" s="106">
        <f>VLOOKUP($A96,'MG Universe'!$A$2:$R$9994,13)</f>
        <v>1.1000000000000001</v>
      </c>
      <c r="N96" s="107">
        <f>VLOOKUP($A96,'MG Universe'!$A$2:$R$9994,14)</f>
        <v>0.82</v>
      </c>
      <c r="O96" s="22">
        <f>VLOOKUP($A96,'MG Universe'!$A$2:$R$9994,15)</f>
        <v>-35.17</v>
      </c>
      <c r="P96" s="23">
        <f>VLOOKUP($A96,'MG Universe'!$A$2:$R$9994,16)</f>
        <v>8.0699999999999994E-2</v>
      </c>
      <c r="Q96" s="109">
        <f>VLOOKUP($A96,'MG Universe'!$A$2:$R$9994,17)</f>
        <v>0</v>
      </c>
      <c r="R96" s="22">
        <f>VLOOKUP($A96,'MG Universe'!$A$2:$R$9994,18)</f>
        <v>0</v>
      </c>
    </row>
    <row r="97" spans="1:18" x14ac:dyDescent="0.55000000000000004">
      <c r="A97" s="18" t="s">
        <v>740</v>
      </c>
      <c r="B97" s="19" t="str">
        <f>VLOOKUP($A97,'MG Universe'!$A$2:$R$9994,2)</f>
        <v>CME Group Inc</v>
      </c>
      <c r="C97" s="19" t="str">
        <f>VLOOKUP($A97,'MG Universe'!$A$2:$R$9994,3)</f>
        <v>D</v>
      </c>
      <c r="D97" s="19" t="str">
        <f>VLOOKUP($A97,'MG Universe'!$A$2:$R$9994,4)</f>
        <v>S</v>
      </c>
      <c r="E97" s="19" t="str">
        <f>VLOOKUP($A97,'MG Universe'!$A$2:$R$9994,5)</f>
        <v>O</v>
      </c>
      <c r="F97" s="20" t="str">
        <f>VLOOKUP($A97,'MG Universe'!$A$2:$R$9994,6)</f>
        <v>SO</v>
      </c>
      <c r="G97" s="103">
        <f>VLOOKUP($A97,'MG Universe'!$A$2:$R$9994,7)</f>
        <v>42282</v>
      </c>
      <c r="H97" s="22">
        <f>VLOOKUP($A97,'MG Universe'!$A$2:$R$9994,8)</f>
        <v>22.85</v>
      </c>
      <c r="I97" s="22">
        <f>VLOOKUP($A97,'MG Universe'!$A$2:$R$9994,9)</f>
        <v>93.3</v>
      </c>
      <c r="J97" s="23">
        <f>VLOOKUP($A97,'MG Universe'!$A$2:$R$9994,10)</f>
        <v>4.0831999999999997</v>
      </c>
      <c r="K97" s="105">
        <f>VLOOKUP($A97,'MG Universe'!$A$2:$R$9994,11)</f>
        <v>27.6</v>
      </c>
      <c r="L97" s="23">
        <f>VLOOKUP($A97,'MG Universe'!$A$2:$R$9994,12)</f>
        <v>2.5700000000000001E-2</v>
      </c>
      <c r="M97" s="106">
        <f>VLOOKUP($A97,'MG Universe'!$A$2:$R$9994,13)</f>
        <v>0.9</v>
      </c>
      <c r="N97" s="107">
        <f>VLOOKUP($A97,'MG Universe'!$A$2:$R$9994,14)</f>
        <v>1.04</v>
      </c>
      <c r="O97" s="22">
        <f>VLOOKUP($A97,'MG Universe'!$A$2:$R$9994,15)</f>
        <v>-24.72</v>
      </c>
      <c r="P97" s="23">
        <f>VLOOKUP($A97,'MG Universe'!$A$2:$R$9994,16)</f>
        <v>9.5500000000000002E-2</v>
      </c>
      <c r="Q97" s="109">
        <f>VLOOKUP($A97,'MG Universe'!$A$2:$R$9994,17)</f>
        <v>5</v>
      </c>
      <c r="R97" s="22">
        <f>VLOOKUP($A97,'MG Universe'!$A$2:$R$9994,18)</f>
        <v>71.069999999999993</v>
      </c>
    </row>
    <row r="98" spans="1:18" x14ac:dyDescent="0.55000000000000004">
      <c r="A98" s="18" t="s">
        <v>506</v>
      </c>
      <c r="B98" s="19" t="str">
        <f>VLOOKUP($A98,'MG Universe'!$A$2:$R$9994,2)</f>
        <v>Chipotle Mexican Grill, Inc.</v>
      </c>
      <c r="C98" s="19" t="str">
        <f>VLOOKUP($A98,'MG Universe'!$A$2:$R$9994,3)</f>
        <v>C-</v>
      </c>
      <c r="D98" s="19" t="str">
        <f>VLOOKUP($A98,'MG Universe'!$A$2:$R$9994,4)</f>
        <v>E</v>
      </c>
      <c r="E98" s="19" t="str">
        <f>VLOOKUP($A98,'MG Universe'!$A$2:$R$9994,5)</f>
        <v>O</v>
      </c>
      <c r="F98" s="20" t="str">
        <f>VLOOKUP($A98,'MG Universe'!$A$2:$R$9994,6)</f>
        <v>EO</v>
      </c>
      <c r="G98" s="103">
        <f>VLOOKUP($A98,'MG Universe'!$A$2:$R$9994,7)</f>
        <v>42416</v>
      </c>
      <c r="H98" s="22">
        <f>VLOOKUP($A98,'MG Universe'!$A$2:$R$9994,8)</f>
        <v>297.52</v>
      </c>
      <c r="I98" s="22">
        <f>VLOOKUP($A98,'MG Universe'!$A$2:$R$9994,9)</f>
        <v>525.77</v>
      </c>
      <c r="J98" s="23">
        <f>VLOOKUP($A98,'MG Universe'!$A$2:$R$9994,10)</f>
        <v>1.7672000000000001</v>
      </c>
      <c r="K98" s="105">
        <f>VLOOKUP($A98,'MG Universe'!$A$2:$R$9994,11)</f>
        <v>49.05</v>
      </c>
      <c r="L98" s="23" t="str">
        <f>VLOOKUP($A98,'MG Universe'!$A$2:$R$9994,12)</f>
        <v>N/A</v>
      </c>
      <c r="M98" s="106">
        <f>VLOOKUP($A98,'MG Universe'!$A$2:$R$9994,13)</f>
        <v>0.6</v>
      </c>
      <c r="N98" s="107">
        <f>VLOOKUP($A98,'MG Universe'!$A$2:$R$9994,14)</f>
        <v>2.91</v>
      </c>
      <c r="O98" s="22">
        <f>VLOOKUP($A98,'MG Universe'!$A$2:$R$9994,15)</f>
        <v>6.91</v>
      </c>
      <c r="P98" s="23">
        <f>VLOOKUP($A98,'MG Universe'!$A$2:$R$9994,16)</f>
        <v>0.20269999999999999</v>
      </c>
      <c r="Q98" s="109">
        <f>VLOOKUP($A98,'MG Universe'!$A$2:$R$9994,17)</f>
        <v>0</v>
      </c>
      <c r="R98" s="22">
        <f>VLOOKUP($A98,'MG Universe'!$A$2:$R$9994,18)</f>
        <v>94.22</v>
      </c>
    </row>
    <row r="99" spans="1:18" x14ac:dyDescent="0.55000000000000004">
      <c r="A99" s="18" t="s">
        <v>306</v>
      </c>
      <c r="B99" s="19" t="str">
        <f>VLOOKUP($A99,'MG Universe'!$A$2:$R$9994,2)</f>
        <v>Cummins Inc.</v>
      </c>
      <c r="C99" s="19" t="str">
        <f>VLOOKUP($A99,'MG Universe'!$A$2:$R$9994,3)</f>
        <v>B+</v>
      </c>
      <c r="D99" s="19" t="str">
        <f>VLOOKUP($A99,'MG Universe'!$A$2:$R$9994,4)</f>
        <v>D</v>
      </c>
      <c r="E99" s="19" t="str">
        <f>VLOOKUP($A99,'MG Universe'!$A$2:$R$9994,5)</f>
        <v>U</v>
      </c>
      <c r="F99" s="20" t="str">
        <f>VLOOKUP($A99,'MG Universe'!$A$2:$R$9994,6)</f>
        <v>DU</v>
      </c>
      <c r="G99" s="103">
        <f>VLOOKUP($A99,'MG Universe'!$A$2:$R$9994,7)</f>
        <v>42349</v>
      </c>
      <c r="H99" s="22">
        <f>VLOOKUP($A99,'MG Universe'!$A$2:$R$9994,8)</f>
        <v>206.36</v>
      </c>
      <c r="I99" s="22">
        <f>VLOOKUP($A99,'MG Universe'!$A$2:$R$9994,9)</f>
        <v>99.44</v>
      </c>
      <c r="J99" s="23">
        <f>VLOOKUP($A99,'MG Universe'!$A$2:$R$9994,10)</f>
        <v>0.4819</v>
      </c>
      <c r="K99" s="105">
        <f>VLOOKUP($A99,'MG Universe'!$A$2:$R$9994,11)</f>
        <v>11.42</v>
      </c>
      <c r="L99" s="23">
        <f>VLOOKUP($A99,'MG Universe'!$A$2:$R$9994,12)</f>
        <v>3.9199999999999999E-2</v>
      </c>
      <c r="M99" s="106">
        <f>VLOOKUP($A99,'MG Universe'!$A$2:$R$9994,13)</f>
        <v>1.5</v>
      </c>
      <c r="N99" s="107">
        <f>VLOOKUP($A99,'MG Universe'!$A$2:$R$9994,14)</f>
        <v>2.23</v>
      </c>
      <c r="O99" s="22">
        <f>VLOOKUP($A99,'MG Universe'!$A$2:$R$9994,15)</f>
        <v>4.59</v>
      </c>
      <c r="P99" s="23">
        <f>VLOOKUP($A99,'MG Universe'!$A$2:$R$9994,16)</f>
        <v>1.46E-2</v>
      </c>
      <c r="Q99" s="109">
        <f>VLOOKUP($A99,'MG Universe'!$A$2:$R$9994,17)</f>
        <v>10</v>
      </c>
      <c r="R99" s="22">
        <f>VLOOKUP($A99,'MG Universe'!$A$2:$R$9994,18)</f>
        <v>92.89</v>
      </c>
    </row>
    <row r="100" spans="1:18" x14ac:dyDescent="0.55000000000000004">
      <c r="A100" s="18" t="s">
        <v>508</v>
      </c>
      <c r="B100" s="19" t="str">
        <f>VLOOKUP($A100,'MG Universe'!$A$2:$R$9994,2)</f>
        <v>CMS Energy Corporation</v>
      </c>
      <c r="C100" s="19" t="str">
        <f>VLOOKUP($A100,'MG Universe'!$A$2:$R$9994,3)</f>
        <v>C-</v>
      </c>
      <c r="D100" s="19" t="str">
        <f>VLOOKUP($A100,'MG Universe'!$A$2:$R$9994,4)</f>
        <v>S</v>
      </c>
      <c r="E100" s="19" t="str">
        <f>VLOOKUP($A100,'MG Universe'!$A$2:$R$9994,5)</f>
        <v>U</v>
      </c>
      <c r="F100" s="20" t="str">
        <f>VLOOKUP($A100,'MG Universe'!$A$2:$R$9994,6)</f>
        <v>SU</v>
      </c>
      <c r="G100" s="103">
        <f>VLOOKUP($A100,'MG Universe'!$A$2:$R$9994,7)</f>
        <v>42051</v>
      </c>
      <c r="H100" s="22">
        <f>VLOOKUP($A100,'MG Universe'!$A$2:$R$9994,8)</f>
        <v>61.47</v>
      </c>
      <c r="I100" s="22">
        <f>VLOOKUP($A100,'MG Universe'!$A$2:$R$9994,9)</f>
        <v>39.450000000000003</v>
      </c>
      <c r="J100" s="23">
        <f>VLOOKUP($A100,'MG Universe'!$A$2:$R$9994,10)</f>
        <v>0.64180000000000004</v>
      </c>
      <c r="K100" s="105">
        <f>VLOOKUP($A100,'MG Universe'!$A$2:$R$9994,11)</f>
        <v>24.66</v>
      </c>
      <c r="L100" s="23">
        <f>VLOOKUP($A100,'MG Universe'!$A$2:$R$9994,12)</f>
        <v>3.1399999999999997E-2</v>
      </c>
      <c r="M100" s="106">
        <f>VLOOKUP($A100,'MG Universe'!$A$2:$R$9994,13)</f>
        <v>0.1</v>
      </c>
      <c r="N100" s="107">
        <f>VLOOKUP($A100,'MG Universe'!$A$2:$R$9994,14)</f>
        <v>1.29</v>
      </c>
      <c r="O100" s="22">
        <f>VLOOKUP($A100,'MG Universe'!$A$2:$R$9994,15)</f>
        <v>-46.97</v>
      </c>
      <c r="P100" s="23">
        <f>VLOOKUP($A100,'MG Universe'!$A$2:$R$9994,16)</f>
        <v>8.0799999999999997E-2</v>
      </c>
      <c r="Q100" s="109">
        <f>VLOOKUP($A100,'MG Universe'!$A$2:$R$9994,17)</f>
        <v>0</v>
      </c>
      <c r="R100" s="22">
        <f>VLOOKUP($A100,'MG Universe'!$A$2:$R$9994,18)</f>
        <v>0</v>
      </c>
    </row>
    <row r="101" spans="1:18" x14ac:dyDescent="0.55000000000000004">
      <c r="A101" s="18" t="s">
        <v>510</v>
      </c>
      <c r="B101" s="19" t="str">
        <f>VLOOKUP($A101,'MG Universe'!$A$2:$R$9994,2)</f>
        <v>CenterPoint Energy, Inc.</v>
      </c>
      <c r="C101" s="19" t="str">
        <f>VLOOKUP($A101,'MG Universe'!$A$2:$R$9994,3)</f>
        <v>C-</v>
      </c>
      <c r="D101" s="19" t="str">
        <f>VLOOKUP($A101,'MG Universe'!$A$2:$R$9994,4)</f>
        <v>S</v>
      </c>
      <c r="E101" s="19" t="str">
        <f>VLOOKUP($A101,'MG Universe'!$A$2:$R$9994,5)</f>
        <v>F</v>
      </c>
      <c r="F101" s="20" t="str">
        <f>VLOOKUP($A101,'MG Universe'!$A$2:$R$9994,6)</f>
        <v>SF</v>
      </c>
      <c r="G101" s="103">
        <f>VLOOKUP($A101,'MG Universe'!$A$2:$R$9994,7)</f>
        <v>42078</v>
      </c>
      <c r="H101" s="22">
        <f>VLOOKUP($A101,'MG Universe'!$A$2:$R$9994,8)</f>
        <v>19.5</v>
      </c>
      <c r="I101" s="22">
        <f>VLOOKUP($A101,'MG Universe'!$A$2:$R$9994,9)</f>
        <v>18.82</v>
      </c>
      <c r="J101" s="23">
        <f>VLOOKUP($A101,'MG Universe'!$A$2:$R$9994,10)</f>
        <v>0.96509999999999996</v>
      </c>
      <c r="K101" s="105">
        <f>VLOOKUP($A101,'MG Universe'!$A$2:$R$9994,11)</f>
        <v>13.94</v>
      </c>
      <c r="L101" s="23">
        <f>VLOOKUP($A101,'MG Universe'!$A$2:$R$9994,12)</f>
        <v>5.4699999999999999E-2</v>
      </c>
      <c r="M101" s="106">
        <f>VLOOKUP($A101,'MG Universe'!$A$2:$R$9994,13)</f>
        <v>0.3</v>
      </c>
      <c r="N101" s="107">
        <f>VLOOKUP($A101,'MG Universe'!$A$2:$R$9994,14)</f>
        <v>0.94</v>
      </c>
      <c r="O101" s="22">
        <f>VLOOKUP($A101,'MG Universe'!$A$2:$R$9994,15)</f>
        <v>-35.369999999999997</v>
      </c>
      <c r="P101" s="23">
        <f>VLOOKUP($A101,'MG Universe'!$A$2:$R$9994,16)</f>
        <v>2.7199999999999998E-2</v>
      </c>
      <c r="Q101" s="109">
        <f>VLOOKUP($A101,'MG Universe'!$A$2:$R$9994,17)</f>
        <v>0</v>
      </c>
      <c r="R101" s="22">
        <f>VLOOKUP($A101,'MG Universe'!$A$2:$R$9994,18)</f>
        <v>0</v>
      </c>
    </row>
    <row r="102" spans="1:18" x14ac:dyDescent="0.55000000000000004">
      <c r="A102" s="18" t="s">
        <v>742</v>
      </c>
      <c r="B102" s="19" t="str">
        <f>VLOOKUP($A102,'MG Universe'!$A$2:$R$9994,2)</f>
        <v>CONSOL Energy Inc.</v>
      </c>
      <c r="C102" s="19" t="str">
        <f>VLOOKUP($A102,'MG Universe'!$A$2:$R$9994,3)</f>
        <v>D</v>
      </c>
      <c r="D102" s="19" t="str">
        <f>VLOOKUP($A102,'MG Universe'!$A$2:$R$9994,4)</f>
        <v>S</v>
      </c>
      <c r="E102" s="19" t="str">
        <f>VLOOKUP($A102,'MG Universe'!$A$2:$R$9994,5)</f>
        <v>O</v>
      </c>
      <c r="F102" s="20" t="str">
        <f>VLOOKUP($A102,'MG Universe'!$A$2:$R$9994,6)</f>
        <v>SO</v>
      </c>
      <c r="G102" s="103">
        <f>VLOOKUP($A102,'MG Universe'!$A$2:$R$9994,7)</f>
        <v>42333</v>
      </c>
      <c r="H102" s="22">
        <f>VLOOKUP($A102,'MG Universe'!$A$2:$R$9994,8)</f>
        <v>0</v>
      </c>
      <c r="I102" s="22">
        <f>VLOOKUP($A102,'MG Universe'!$A$2:$R$9994,9)</f>
        <v>9.4499999999999993</v>
      </c>
      <c r="J102" s="23" t="str">
        <f>VLOOKUP($A102,'MG Universe'!$A$2:$R$9994,10)</f>
        <v>N/A</v>
      </c>
      <c r="K102" s="105">
        <f>VLOOKUP($A102,'MG Universe'!$A$2:$R$9994,11)</f>
        <v>18.899999999999999</v>
      </c>
      <c r="L102" s="23">
        <f>VLOOKUP($A102,'MG Universe'!$A$2:$R$9994,12)</f>
        <v>4.1999999999999997E-3</v>
      </c>
      <c r="M102" s="106">
        <f>VLOOKUP($A102,'MG Universe'!$A$2:$R$9994,13)</f>
        <v>1.4</v>
      </c>
      <c r="N102" s="107">
        <f>VLOOKUP($A102,'MG Universe'!$A$2:$R$9994,14)</f>
        <v>0.52</v>
      </c>
      <c r="O102" s="22">
        <f>VLOOKUP($A102,'MG Universe'!$A$2:$R$9994,15)</f>
        <v>-23.9</v>
      </c>
      <c r="P102" s="23">
        <f>VLOOKUP($A102,'MG Universe'!$A$2:$R$9994,16)</f>
        <v>5.1999999999999998E-2</v>
      </c>
      <c r="Q102" s="109">
        <f>VLOOKUP($A102,'MG Universe'!$A$2:$R$9994,17)</f>
        <v>0</v>
      </c>
      <c r="R102" s="22" t="str">
        <f>VLOOKUP($A102,'MG Universe'!$A$2:$R$9994,18)</f>
        <v>N/A</v>
      </c>
    </row>
    <row r="103" spans="1:18" x14ac:dyDescent="0.55000000000000004">
      <c r="A103" s="18" t="s">
        <v>96</v>
      </c>
      <c r="B103" s="19" t="str">
        <f>VLOOKUP($A103,'MG Universe'!$A$2:$R$9994,2)</f>
        <v>Capital One Financial Corp.</v>
      </c>
      <c r="C103" s="19" t="str">
        <f>VLOOKUP($A103,'MG Universe'!$A$2:$R$9994,3)</f>
        <v>A-</v>
      </c>
      <c r="D103" s="19" t="str">
        <f>VLOOKUP($A103,'MG Universe'!$A$2:$R$9994,4)</f>
        <v>E</v>
      </c>
      <c r="E103" s="19" t="str">
        <f>VLOOKUP($A103,'MG Universe'!$A$2:$R$9994,5)</f>
        <v>U</v>
      </c>
      <c r="F103" s="20" t="str">
        <f>VLOOKUP($A103,'MG Universe'!$A$2:$R$9994,6)</f>
        <v>EU</v>
      </c>
      <c r="G103" s="103">
        <f>VLOOKUP($A103,'MG Universe'!$A$2:$R$9994,7)</f>
        <v>42398</v>
      </c>
      <c r="H103" s="22">
        <f>VLOOKUP($A103,'MG Universe'!$A$2:$R$9994,8)</f>
        <v>145.16999999999999</v>
      </c>
      <c r="I103" s="22">
        <f>VLOOKUP($A103,'MG Universe'!$A$2:$R$9994,9)</f>
        <v>69.14</v>
      </c>
      <c r="J103" s="23">
        <f>VLOOKUP($A103,'MG Universe'!$A$2:$R$9994,10)</f>
        <v>0.4763</v>
      </c>
      <c r="K103" s="105">
        <f>VLOOKUP($A103,'MG Universe'!$A$2:$R$9994,11)</f>
        <v>9.64</v>
      </c>
      <c r="L103" s="23">
        <f>VLOOKUP($A103,'MG Universe'!$A$2:$R$9994,12)</f>
        <v>2.3099999999999999E-2</v>
      </c>
      <c r="M103" s="106">
        <f>VLOOKUP($A103,'MG Universe'!$A$2:$R$9994,13)</f>
        <v>1.3</v>
      </c>
      <c r="N103" s="107" t="str">
        <f>VLOOKUP($A103,'MG Universe'!$A$2:$R$9994,14)</f>
        <v>N/A</v>
      </c>
      <c r="O103" s="22" t="str">
        <f>VLOOKUP($A103,'MG Universe'!$A$2:$R$9994,15)</f>
        <v>N/A</v>
      </c>
      <c r="P103" s="23">
        <f>VLOOKUP($A103,'MG Universe'!$A$2:$R$9994,16)</f>
        <v>5.7000000000000002E-3</v>
      </c>
      <c r="Q103" s="109">
        <f>VLOOKUP($A103,'MG Universe'!$A$2:$R$9994,17)</f>
        <v>1</v>
      </c>
      <c r="R103" s="22">
        <f>VLOOKUP($A103,'MG Universe'!$A$2:$R$9994,18)</f>
        <v>119.67</v>
      </c>
    </row>
    <row r="104" spans="1:18" x14ac:dyDescent="0.55000000000000004">
      <c r="A104" s="18" t="s">
        <v>1059</v>
      </c>
      <c r="B104" s="19" t="str">
        <f>VLOOKUP($A104,'MG Universe'!$A$2:$R$9994,2)</f>
        <v>Cabot Oil &amp; Gas Corporation</v>
      </c>
      <c r="C104" s="19" t="str">
        <f>VLOOKUP($A104,'MG Universe'!$A$2:$R$9994,3)</f>
        <v>F</v>
      </c>
      <c r="D104" s="19" t="str">
        <f>VLOOKUP($A104,'MG Universe'!$A$2:$R$9994,4)</f>
        <v>S</v>
      </c>
      <c r="E104" s="19" t="str">
        <f>VLOOKUP($A104,'MG Universe'!$A$2:$R$9994,5)</f>
        <v>O</v>
      </c>
      <c r="F104" s="20" t="str">
        <f>VLOOKUP($A104,'MG Universe'!$A$2:$R$9994,6)</f>
        <v>SO</v>
      </c>
      <c r="G104" s="103">
        <f>VLOOKUP($A104,'MG Universe'!$A$2:$R$9994,7)</f>
        <v>42348</v>
      </c>
      <c r="H104" s="22">
        <f>VLOOKUP($A104,'MG Universe'!$A$2:$R$9994,8)</f>
        <v>0.12</v>
      </c>
      <c r="I104" s="22">
        <f>VLOOKUP($A104,'MG Universe'!$A$2:$R$9994,9)</f>
        <v>22.04</v>
      </c>
      <c r="J104" s="23">
        <f>VLOOKUP($A104,'MG Universe'!$A$2:$R$9994,10)</f>
        <v>183.66669999999999</v>
      </c>
      <c r="K104" s="105">
        <f>VLOOKUP($A104,'MG Universe'!$A$2:$R$9994,11)</f>
        <v>100.18</v>
      </c>
      <c r="L104" s="23">
        <f>VLOOKUP($A104,'MG Universe'!$A$2:$R$9994,12)</f>
        <v>3.5999999999999999E-3</v>
      </c>
      <c r="M104" s="106">
        <f>VLOOKUP($A104,'MG Universe'!$A$2:$R$9994,13)</f>
        <v>0.7</v>
      </c>
      <c r="N104" s="107">
        <f>VLOOKUP($A104,'MG Universe'!$A$2:$R$9994,14)</f>
        <v>0.81</v>
      </c>
      <c r="O104" s="22">
        <f>VLOOKUP($A104,'MG Universe'!$A$2:$R$9994,15)</f>
        <v>-7.61</v>
      </c>
      <c r="P104" s="23">
        <f>VLOOKUP($A104,'MG Universe'!$A$2:$R$9994,16)</f>
        <v>0.45839999999999997</v>
      </c>
      <c r="Q104" s="109">
        <f>VLOOKUP($A104,'MG Universe'!$A$2:$R$9994,17)</f>
        <v>4</v>
      </c>
      <c r="R104" s="22" t="str">
        <f>VLOOKUP($A104,'MG Universe'!$A$2:$R$9994,18)</f>
        <v>N/A</v>
      </c>
    </row>
    <row r="105" spans="1:18" x14ac:dyDescent="0.55000000000000004">
      <c r="A105" s="18" t="s">
        <v>655</v>
      </c>
      <c r="B105" s="19" t="str">
        <f>VLOOKUP($A105,'MG Universe'!$A$2:$R$9994,2)</f>
        <v>Coach Inc</v>
      </c>
      <c r="C105" s="19" t="str">
        <f>VLOOKUP($A105,'MG Universe'!$A$2:$R$9994,3)</f>
        <v>C+</v>
      </c>
      <c r="D105" s="19" t="str">
        <f>VLOOKUP($A105,'MG Universe'!$A$2:$R$9994,4)</f>
        <v>E</v>
      </c>
      <c r="E105" s="19" t="str">
        <f>VLOOKUP($A105,'MG Universe'!$A$2:$R$9994,5)</f>
        <v>O</v>
      </c>
      <c r="F105" s="20" t="str">
        <f>VLOOKUP($A105,'MG Universe'!$A$2:$R$9994,6)</f>
        <v>EO</v>
      </c>
      <c r="G105" s="103">
        <f>VLOOKUP($A105,'MG Universe'!$A$2:$R$9994,7)</f>
        <v>42402</v>
      </c>
      <c r="H105" s="22">
        <f>VLOOKUP($A105,'MG Universe'!$A$2:$R$9994,8)</f>
        <v>4.9800000000000004</v>
      </c>
      <c r="I105" s="22">
        <f>VLOOKUP($A105,'MG Universe'!$A$2:$R$9994,9)</f>
        <v>38.869999999999997</v>
      </c>
      <c r="J105" s="23">
        <f>VLOOKUP($A105,'MG Universe'!$A$2:$R$9994,10)</f>
        <v>7.8052000000000001</v>
      </c>
      <c r="K105" s="105">
        <f>VLOOKUP($A105,'MG Universe'!$A$2:$R$9994,11)</f>
        <v>17.43</v>
      </c>
      <c r="L105" s="23">
        <f>VLOOKUP($A105,'MG Universe'!$A$2:$R$9994,12)</f>
        <v>3.4700000000000002E-2</v>
      </c>
      <c r="M105" s="106">
        <f>VLOOKUP($A105,'MG Universe'!$A$2:$R$9994,13)</f>
        <v>0.9</v>
      </c>
      <c r="N105" s="107">
        <f>VLOOKUP($A105,'MG Universe'!$A$2:$R$9994,14)</f>
        <v>3.27</v>
      </c>
      <c r="O105" s="22">
        <f>VLOOKUP($A105,'MG Universe'!$A$2:$R$9994,15)</f>
        <v>0.96</v>
      </c>
      <c r="P105" s="23">
        <f>VLOOKUP($A105,'MG Universe'!$A$2:$R$9994,16)</f>
        <v>4.4699999999999997E-2</v>
      </c>
      <c r="Q105" s="109">
        <f>VLOOKUP($A105,'MG Universe'!$A$2:$R$9994,17)</f>
        <v>1</v>
      </c>
      <c r="R105" s="22">
        <f>VLOOKUP($A105,'MG Universe'!$A$2:$R$9994,18)</f>
        <v>18.87</v>
      </c>
    </row>
    <row r="106" spans="1:18" x14ac:dyDescent="0.55000000000000004">
      <c r="A106" s="18" t="s">
        <v>371</v>
      </c>
      <c r="B106" s="19" t="str">
        <f>VLOOKUP($A106,'MG Universe'!$A$2:$R$9994,2)</f>
        <v>Rockwell Collins, Inc.</v>
      </c>
      <c r="C106" s="19" t="str">
        <f>VLOOKUP($A106,'MG Universe'!$A$2:$R$9994,3)</f>
        <v>C</v>
      </c>
      <c r="D106" s="19" t="str">
        <f>VLOOKUP($A106,'MG Universe'!$A$2:$R$9994,4)</f>
        <v>E</v>
      </c>
      <c r="E106" s="19" t="str">
        <f>VLOOKUP($A106,'MG Universe'!$A$2:$R$9994,5)</f>
        <v>O</v>
      </c>
      <c r="F106" s="20" t="str">
        <f>VLOOKUP($A106,'MG Universe'!$A$2:$R$9994,6)</f>
        <v>EO</v>
      </c>
      <c r="G106" s="103">
        <f>VLOOKUP($A106,'MG Universe'!$A$2:$R$9994,7)</f>
        <v>42377</v>
      </c>
      <c r="H106" s="22">
        <f>VLOOKUP($A106,'MG Universe'!$A$2:$R$9994,8)</f>
        <v>74.58</v>
      </c>
      <c r="I106" s="22">
        <f>VLOOKUP($A106,'MG Universe'!$A$2:$R$9994,9)</f>
        <v>88.75</v>
      </c>
      <c r="J106" s="23">
        <f>VLOOKUP($A106,'MG Universe'!$A$2:$R$9994,10)</f>
        <v>1.19</v>
      </c>
      <c r="K106" s="105">
        <f>VLOOKUP($A106,'MG Universe'!$A$2:$R$9994,11)</f>
        <v>18.3</v>
      </c>
      <c r="L106" s="23">
        <f>VLOOKUP($A106,'MG Universe'!$A$2:$R$9994,12)</f>
        <v>1.49E-2</v>
      </c>
      <c r="M106" s="106">
        <f>VLOOKUP($A106,'MG Universe'!$A$2:$R$9994,13)</f>
        <v>0.7</v>
      </c>
      <c r="N106" s="107">
        <f>VLOOKUP($A106,'MG Universe'!$A$2:$R$9994,14)</f>
        <v>1.51</v>
      </c>
      <c r="O106" s="22">
        <f>VLOOKUP($A106,'MG Universe'!$A$2:$R$9994,15)</f>
        <v>-17.12</v>
      </c>
      <c r="P106" s="23">
        <f>VLOOKUP($A106,'MG Universe'!$A$2:$R$9994,16)</f>
        <v>4.9000000000000002E-2</v>
      </c>
      <c r="Q106" s="109">
        <f>VLOOKUP($A106,'MG Universe'!$A$2:$R$9994,17)</f>
        <v>2</v>
      </c>
      <c r="R106" s="22">
        <f>VLOOKUP($A106,'MG Universe'!$A$2:$R$9994,18)</f>
        <v>40.51</v>
      </c>
    </row>
    <row r="107" spans="1:18" x14ac:dyDescent="0.55000000000000004">
      <c r="A107" s="18" t="s">
        <v>373</v>
      </c>
      <c r="B107" s="19" t="str">
        <f>VLOOKUP($A107,'MG Universe'!$A$2:$R$9994,2)</f>
        <v>ConocoPhillips</v>
      </c>
      <c r="C107" s="19" t="str">
        <f>VLOOKUP($A107,'MG Universe'!$A$2:$R$9994,3)</f>
        <v>C</v>
      </c>
      <c r="D107" s="19" t="str">
        <f>VLOOKUP($A107,'MG Universe'!$A$2:$R$9994,4)</f>
        <v>S</v>
      </c>
      <c r="E107" s="19" t="str">
        <f>VLOOKUP($A107,'MG Universe'!$A$2:$R$9994,5)</f>
        <v>U</v>
      </c>
      <c r="F107" s="20" t="str">
        <f>VLOOKUP($A107,'MG Universe'!$A$2:$R$9994,6)</f>
        <v>SU</v>
      </c>
      <c r="G107" s="103">
        <f>VLOOKUP($A107,'MG Universe'!$A$2:$R$9994,7)</f>
        <v>42029</v>
      </c>
      <c r="H107" s="22">
        <f>VLOOKUP($A107,'MG Universe'!$A$2:$R$9994,8)</f>
        <v>259.85000000000002</v>
      </c>
      <c r="I107" s="22">
        <f>VLOOKUP($A107,'MG Universe'!$A$2:$R$9994,9)</f>
        <v>36.47</v>
      </c>
      <c r="J107" s="23">
        <f>VLOOKUP($A107,'MG Universe'!$A$2:$R$9994,10)</f>
        <v>0.1404</v>
      </c>
      <c r="K107" s="105">
        <f>VLOOKUP($A107,'MG Universe'!$A$2:$R$9994,11)</f>
        <v>5.4</v>
      </c>
      <c r="L107" s="23">
        <f>VLOOKUP($A107,'MG Universe'!$A$2:$R$9994,12)</f>
        <v>2.7400000000000001E-2</v>
      </c>
      <c r="M107" s="106">
        <f>VLOOKUP($A107,'MG Universe'!$A$2:$R$9994,13)</f>
        <v>1.3</v>
      </c>
      <c r="N107" s="107">
        <f>VLOOKUP($A107,'MG Universe'!$A$2:$R$9994,14)</f>
        <v>1.1499999999999999</v>
      </c>
      <c r="O107" s="22">
        <f>VLOOKUP($A107,'MG Universe'!$A$2:$R$9994,15)</f>
        <v>-38.049999999999997</v>
      </c>
      <c r="P107" s="23">
        <f>VLOOKUP($A107,'MG Universe'!$A$2:$R$9994,16)</f>
        <v>-1.55E-2</v>
      </c>
      <c r="Q107" s="109">
        <f>VLOOKUP($A107,'MG Universe'!$A$2:$R$9994,17)</f>
        <v>0</v>
      </c>
      <c r="R107" s="22">
        <f>VLOOKUP($A107,'MG Universe'!$A$2:$R$9994,18)</f>
        <v>0</v>
      </c>
    </row>
    <row r="108" spans="1:18" x14ac:dyDescent="0.55000000000000004">
      <c r="A108" s="18" t="s">
        <v>744</v>
      </c>
      <c r="B108" s="19" t="str">
        <f>VLOOKUP($A108,'MG Universe'!$A$2:$R$9994,2)</f>
        <v>Costco Wholesale Corporation</v>
      </c>
      <c r="C108" s="19" t="str">
        <f>VLOOKUP($A108,'MG Universe'!$A$2:$R$9994,3)</f>
        <v>D</v>
      </c>
      <c r="D108" s="19" t="str">
        <f>VLOOKUP($A108,'MG Universe'!$A$2:$R$9994,4)</f>
        <v>S</v>
      </c>
      <c r="E108" s="19" t="str">
        <f>VLOOKUP($A108,'MG Universe'!$A$2:$R$9994,5)</f>
        <v>O</v>
      </c>
      <c r="F108" s="20" t="str">
        <f>VLOOKUP($A108,'MG Universe'!$A$2:$R$9994,6)</f>
        <v>SO</v>
      </c>
      <c r="G108" s="103">
        <f>VLOOKUP($A108,'MG Universe'!$A$2:$R$9994,7)</f>
        <v>42029</v>
      </c>
      <c r="H108" s="22">
        <f>VLOOKUP($A108,'MG Universe'!$A$2:$R$9994,8)</f>
        <v>116.22</v>
      </c>
      <c r="I108" s="22">
        <f>VLOOKUP($A108,'MG Universe'!$A$2:$R$9994,9)</f>
        <v>152.79</v>
      </c>
      <c r="J108" s="23">
        <f>VLOOKUP($A108,'MG Universe'!$A$2:$R$9994,10)</f>
        <v>1.3147</v>
      </c>
      <c r="K108" s="105">
        <f>VLOOKUP($A108,'MG Universe'!$A$2:$R$9994,11)</f>
        <v>33.51</v>
      </c>
      <c r="L108" s="23">
        <f>VLOOKUP($A108,'MG Universe'!$A$2:$R$9994,12)</f>
        <v>1.0500000000000001E-2</v>
      </c>
      <c r="M108" s="106">
        <f>VLOOKUP($A108,'MG Universe'!$A$2:$R$9994,13)</f>
        <v>0.6</v>
      </c>
      <c r="N108" s="107">
        <f>VLOOKUP($A108,'MG Universe'!$A$2:$R$9994,14)</f>
        <v>1.2</v>
      </c>
      <c r="O108" s="22">
        <f>VLOOKUP($A108,'MG Universe'!$A$2:$R$9994,15)</f>
        <v>-7.01</v>
      </c>
      <c r="P108" s="23">
        <f>VLOOKUP($A108,'MG Universe'!$A$2:$R$9994,16)</f>
        <v>0.125</v>
      </c>
      <c r="Q108" s="109">
        <f>VLOOKUP($A108,'MG Universe'!$A$2:$R$9994,17)</f>
        <v>0</v>
      </c>
      <c r="R108" s="22">
        <f>VLOOKUP($A108,'MG Universe'!$A$2:$R$9994,18)</f>
        <v>0</v>
      </c>
    </row>
    <row r="109" spans="1:18" x14ac:dyDescent="0.55000000000000004">
      <c r="A109" s="18" t="s">
        <v>864</v>
      </c>
      <c r="B109" s="19" t="str">
        <f>VLOOKUP($A109,'MG Universe'!$A$2:$R$9994,2)</f>
        <v>Campbell Soup Company</v>
      </c>
      <c r="C109" s="19" t="str">
        <f>VLOOKUP($A109,'MG Universe'!$A$2:$R$9994,3)</f>
        <v>D+</v>
      </c>
      <c r="D109" s="19" t="str">
        <f>VLOOKUP($A109,'MG Universe'!$A$2:$R$9994,4)</f>
        <v>S</v>
      </c>
      <c r="E109" s="19" t="str">
        <f>VLOOKUP($A109,'MG Universe'!$A$2:$R$9994,5)</f>
        <v>O</v>
      </c>
      <c r="F109" s="20" t="str">
        <f>VLOOKUP($A109,'MG Universe'!$A$2:$R$9994,6)</f>
        <v>SO</v>
      </c>
      <c r="G109" s="103">
        <f>VLOOKUP($A109,'MG Universe'!$A$2:$R$9994,7)</f>
        <v>42030</v>
      </c>
      <c r="H109" s="22">
        <f>VLOOKUP($A109,'MG Universe'!$A$2:$R$9994,8)</f>
        <v>15.16</v>
      </c>
      <c r="I109" s="22">
        <f>VLOOKUP($A109,'MG Universe'!$A$2:$R$9994,9)</f>
        <v>61.46</v>
      </c>
      <c r="J109" s="23">
        <f>VLOOKUP($A109,'MG Universe'!$A$2:$R$9994,10)</f>
        <v>4.0541</v>
      </c>
      <c r="K109" s="105">
        <f>VLOOKUP($A109,'MG Universe'!$A$2:$R$9994,11)</f>
        <v>27.07</v>
      </c>
      <c r="L109" s="23">
        <f>VLOOKUP($A109,'MG Universe'!$A$2:$R$9994,12)</f>
        <v>2.0299999999999999E-2</v>
      </c>
      <c r="M109" s="106">
        <f>VLOOKUP($A109,'MG Universe'!$A$2:$R$9994,13)</f>
        <v>0.4</v>
      </c>
      <c r="N109" s="107">
        <f>VLOOKUP($A109,'MG Universe'!$A$2:$R$9994,14)</f>
        <v>0.74</v>
      </c>
      <c r="O109" s="22">
        <f>VLOOKUP($A109,'MG Universe'!$A$2:$R$9994,15)</f>
        <v>-13.67</v>
      </c>
      <c r="P109" s="23">
        <f>VLOOKUP($A109,'MG Universe'!$A$2:$R$9994,16)</f>
        <v>9.2899999999999996E-2</v>
      </c>
      <c r="Q109" s="109">
        <f>VLOOKUP($A109,'MG Universe'!$A$2:$R$9994,17)</f>
        <v>0</v>
      </c>
      <c r="R109" s="22">
        <f>VLOOKUP($A109,'MG Universe'!$A$2:$R$9994,18)</f>
        <v>0</v>
      </c>
    </row>
    <row r="110" spans="1:18" x14ac:dyDescent="0.55000000000000004">
      <c r="A110" s="18" t="s">
        <v>1061</v>
      </c>
      <c r="B110" s="19" t="str">
        <f>VLOOKUP($A110,'MG Universe'!$A$2:$R$9994,2)</f>
        <v>salesforce.com, inc.</v>
      </c>
      <c r="C110" s="19" t="str">
        <f>VLOOKUP($A110,'MG Universe'!$A$2:$R$9994,3)</f>
        <v>F</v>
      </c>
      <c r="D110" s="19" t="str">
        <f>VLOOKUP($A110,'MG Universe'!$A$2:$R$9994,4)</f>
        <v>S</v>
      </c>
      <c r="E110" s="19" t="str">
        <f>VLOOKUP($A110,'MG Universe'!$A$2:$R$9994,5)</f>
        <v>O</v>
      </c>
      <c r="F110" s="20" t="str">
        <f>VLOOKUP($A110,'MG Universe'!$A$2:$R$9994,6)</f>
        <v>SO</v>
      </c>
      <c r="G110" s="103">
        <f>VLOOKUP($A110,'MG Universe'!$A$2:$R$9994,7)</f>
        <v>42399</v>
      </c>
      <c r="H110" s="22">
        <f>VLOOKUP($A110,'MG Universe'!$A$2:$R$9994,8)</f>
        <v>0</v>
      </c>
      <c r="I110" s="22">
        <f>VLOOKUP($A110,'MG Universe'!$A$2:$R$9994,9)</f>
        <v>70.42</v>
      </c>
      <c r="J110" s="23" t="str">
        <f>VLOOKUP($A110,'MG Universe'!$A$2:$R$9994,10)</f>
        <v>N/A</v>
      </c>
      <c r="K110" s="105" t="str">
        <f>VLOOKUP($A110,'MG Universe'!$A$2:$R$9994,11)</f>
        <v>N/A</v>
      </c>
      <c r="L110" s="23" t="str">
        <f>VLOOKUP($A110,'MG Universe'!$A$2:$R$9994,12)</f>
        <v>N/A</v>
      </c>
      <c r="M110" s="106">
        <f>VLOOKUP($A110,'MG Universe'!$A$2:$R$9994,13)</f>
        <v>1.6</v>
      </c>
      <c r="N110" s="107">
        <f>VLOOKUP($A110,'MG Universe'!$A$2:$R$9994,14)</f>
        <v>0.74</v>
      </c>
      <c r="O110" s="22">
        <f>VLOOKUP($A110,'MG Universe'!$A$2:$R$9994,15)</f>
        <v>-4.8499999999999996</v>
      </c>
      <c r="P110" s="23">
        <f>VLOOKUP($A110,'MG Universe'!$A$2:$R$9994,16)</f>
        <v>-1.7192000000000001</v>
      </c>
      <c r="Q110" s="109">
        <f>VLOOKUP($A110,'MG Universe'!$A$2:$R$9994,17)</f>
        <v>0</v>
      </c>
      <c r="R110" s="22">
        <f>VLOOKUP($A110,'MG Universe'!$A$2:$R$9994,18)</f>
        <v>4.9000000000000004</v>
      </c>
    </row>
    <row r="111" spans="1:18" x14ac:dyDescent="0.55000000000000004">
      <c r="A111" s="18" t="s">
        <v>1063</v>
      </c>
      <c r="B111" s="19" t="str">
        <f>VLOOKUP($A111,'MG Universe'!$A$2:$R$9994,2)</f>
        <v>Computer Sciences Corporation</v>
      </c>
      <c r="C111" s="19" t="str">
        <f>VLOOKUP($A111,'MG Universe'!$A$2:$R$9994,3)</f>
        <v>F</v>
      </c>
      <c r="D111" s="19" t="str">
        <f>VLOOKUP($A111,'MG Universe'!$A$2:$R$9994,4)</f>
        <v>S</v>
      </c>
      <c r="E111" s="19" t="str">
        <f>VLOOKUP($A111,'MG Universe'!$A$2:$R$9994,5)</f>
        <v>O</v>
      </c>
      <c r="F111" s="20" t="str">
        <f>VLOOKUP($A111,'MG Universe'!$A$2:$R$9994,6)</f>
        <v>SO</v>
      </c>
      <c r="G111" s="103">
        <f>VLOOKUP($A111,'MG Universe'!$A$2:$R$9994,7)</f>
        <v>42030</v>
      </c>
      <c r="H111" s="22">
        <f>VLOOKUP($A111,'MG Universe'!$A$2:$R$9994,8)</f>
        <v>0</v>
      </c>
      <c r="I111" s="22">
        <f>VLOOKUP($A111,'MG Universe'!$A$2:$R$9994,9)</f>
        <v>30.22</v>
      </c>
      <c r="J111" s="23" t="str">
        <f>VLOOKUP($A111,'MG Universe'!$A$2:$R$9994,10)</f>
        <v>N/A</v>
      </c>
      <c r="K111" s="105">
        <f>VLOOKUP($A111,'MG Universe'!$A$2:$R$9994,11)</f>
        <v>52.1</v>
      </c>
      <c r="L111" s="23">
        <f>VLOOKUP($A111,'MG Universe'!$A$2:$R$9994,12)</f>
        <v>1.8499999999999999E-2</v>
      </c>
      <c r="M111" s="106">
        <f>VLOOKUP($A111,'MG Universe'!$A$2:$R$9994,13)</f>
        <v>1.3</v>
      </c>
      <c r="N111" s="107">
        <f>VLOOKUP($A111,'MG Universe'!$A$2:$R$9994,14)</f>
        <v>1.68</v>
      </c>
      <c r="O111" s="22">
        <f>VLOOKUP($A111,'MG Universe'!$A$2:$R$9994,15)</f>
        <v>-12.43</v>
      </c>
      <c r="P111" s="23">
        <f>VLOOKUP($A111,'MG Universe'!$A$2:$R$9994,16)</f>
        <v>0.218</v>
      </c>
      <c r="Q111" s="109">
        <f>VLOOKUP($A111,'MG Universe'!$A$2:$R$9994,17)</f>
        <v>0</v>
      </c>
      <c r="R111" s="22">
        <f>VLOOKUP($A111,'MG Universe'!$A$2:$R$9994,18)</f>
        <v>0</v>
      </c>
    </row>
    <row r="112" spans="1:18" x14ac:dyDescent="0.55000000000000004">
      <c r="A112" s="18" t="s">
        <v>159</v>
      </c>
      <c r="B112" s="19" t="str">
        <f>VLOOKUP($A112,'MG Universe'!$A$2:$R$9994,2)</f>
        <v>Cisco Systems, Inc.</v>
      </c>
      <c r="C112" s="19" t="str">
        <f>VLOOKUP($A112,'MG Universe'!$A$2:$R$9994,3)</f>
        <v>B</v>
      </c>
      <c r="D112" s="19" t="str">
        <f>VLOOKUP($A112,'MG Universe'!$A$2:$R$9994,4)</f>
        <v>D</v>
      </c>
      <c r="E112" s="19" t="str">
        <f>VLOOKUP($A112,'MG Universe'!$A$2:$R$9994,5)</f>
        <v>F</v>
      </c>
      <c r="F112" s="20" t="str">
        <f>VLOOKUP($A112,'MG Universe'!$A$2:$R$9994,6)</f>
        <v>DF</v>
      </c>
      <c r="G112" s="103">
        <f>VLOOKUP($A112,'MG Universe'!$A$2:$R$9994,7)</f>
        <v>42405</v>
      </c>
      <c r="H112" s="22">
        <f>VLOOKUP($A112,'MG Universe'!$A$2:$R$9994,8)</f>
        <v>35.06</v>
      </c>
      <c r="I112" s="22">
        <f>VLOOKUP($A112,'MG Universe'!$A$2:$R$9994,9)</f>
        <v>26.9</v>
      </c>
      <c r="J112" s="23">
        <f>VLOOKUP($A112,'MG Universe'!$A$2:$R$9994,10)</f>
        <v>0.76729999999999998</v>
      </c>
      <c r="K112" s="105">
        <f>VLOOKUP($A112,'MG Universe'!$A$2:$R$9994,11)</f>
        <v>15.03</v>
      </c>
      <c r="L112" s="23">
        <f>VLOOKUP($A112,'MG Universe'!$A$2:$R$9994,12)</f>
        <v>3.8699999999999998E-2</v>
      </c>
      <c r="M112" s="106">
        <f>VLOOKUP($A112,'MG Universe'!$A$2:$R$9994,13)</f>
        <v>1.3</v>
      </c>
      <c r="N112" s="107">
        <f>VLOOKUP($A112,'MG Universe'!$A$2:$R$9994,14)</f>
        <v>3.35</v>
      </c>
      <c r="O112" s="22">
        <f>VLOOKUP($A112,'MG Universe'!$A$2:$R$9994,15)</f>
        <v>4.33</v>
      </c>
      <c r="P112" s="23">
        <f>VLOOKUP($A112,'MG Universe'!$A$2:$R$9994,16)</f>
        <v>3.2599999999999997E-2</v>
      </c>
      <c r="Q112" s="109">
        <f>VLOOKUP($A112,'MG Universe'!$A$2:$R$9994,17)</f>
        <v>6</v>
      </c>
      <c r="R112" s="22">
        <f>VLOOKUP($A112,'MG Universe'!$A$2:$R$9994,18)</f>
        <v>23.16</v>
      </c>
    </row>
    <row r="113" spans="1:18" x14ac:dyDescent="0.55000000000000004">
      <c r="A113" s="18" t="s">
        <v>161</v>
      </c>
      <c r="B113" s="19" t="str">
        <f>VLOOKUP($A113,'MG Universe'!$A$2:$R$9994,2)</f>
        <v>CSX Corporation</v>
      </c>
      <c r="C113" s="19" t="str">
        <f>VLOOKUP($A113,'MG Universe'!$A$2:$R$9994,3)</f>
        <v>B</v>
      </c>
      <c r="D113" s="19" t="str">
        <f>VLOOKUP($A113,'MG Universe'!$A$2:$R$9994,4)</f>
        <v>D</v>
      </c>
      <c r="E113" s="19" t="str">
        <f>VLOOKUP($A113,'MG Universe'!$A$2:$R$9994,5)</f>
        <v>F</v>
      </c>
      <c r="F113" s="20" t="str">
        <f>VLOOKUP($A113,'MG Universe'!$A$2:$R$9994,6)</f>
        <v>DF</v>
      </c>
      <c r="G113" s="103">
        <f>VLOOKUP($A113,'MG Universe'!$A$2:$R$9994,7)</f>
        <v>42402</v>
      </c>
      <c r="H113" s="22">
        <f>VLOOKUP($A113,'MG Universe'!$A$2:$R$9994,8)</f>
        <v>28.69</v>
      </c>
      <c r="I113" s="22">
        <f>VLOOKUP($A113,'MG Universe'!$A$2:$R$9994,9)</f>
        <v>24.55</v>
      </c>
      <c r="J113" s="23">
        <f>VLOOKUP($A113,'MG Universe'!$A$2:$R$9994,10)</f>
        <v>0.85570000000000002</v>
      </c>
      <c r="K113" s="105">
        <f>VLOOKUP($A113,'MG Universe'!$A$2:$R$9994,11)</f>
        <v>13.2</v>
      </c>
      <c r="L113" s="23">
        <f>VLOOKUP($A113,'MG Universe'!$A$2:$R$9994,12)</f>
        <v>2.93E-2</v>
      </c>
      <c r="M113" s="106">
        <f>VLOOKUP($A113,'MG Universe'!$A$2:$R$9994,13)</f>
        <v>1.3</v>
      </c>
      <c r="N113" s="107">
        <f>VLOOKUP($A113,'MG Universe'!$A$2:$R$9994,14)</f>
        <v>1.52</v>
      </c>
      <c r="O113" s="22">
        <f>VLOOKUP($A113,'MG Universe'!$A$2:$R$9994,15)</f>
        <v>-20.93</v>
      </c>
      <c r="P113" s="23">
        <f>VLOOKUP($A113,'MG Universe'!$A$2:$R$9994,16)</f>
        <v>2.35E-2</v>
      </c>
      <c r="Q113" s="109">
        <f>VLOOKUP($A113,'MG Universe'!$A$2:$R$9994,17)</f>
        <v>12</v>
      </c>
      <c r="R113" s="22">
        <f>VLOOKUP($A113,'MG Universe'!$A$2:$R$9994,18)</f>
        <v>21.59</v>
      </c>
    </row>
    <row r="114" spans="1:18" x14ac:dyDescent="0.55000000000000004">
      <c r="A114" s="18" t="s">
        <v>231</v>
      </c>
      <c r="B114" s="19" t="str">
        <f>VLOOKUP($A114,'MG Universe'!$A$2:$R$9994,2)</f>
        <v>Cintas Corporation</v>
      </c>
      <c r="C114" s="19" t="str">
        <f>VLOOKUP($A114,'MG Universe'!$A$2:$R$9994,3)</f>
        <v>B-</v>
      </c>
      <c r="D114" s="19" t="str">
        <f>VLOOKUP($A114,'MG Universe'!$A$2:$R$9994,4)</f>
        <v>E</v>
      </c>
      <c r="E114" s="19" t="str">
        <f>VLOOKUP($A114,'MG Universe'!$A$2:$R$9994,5)</f>
        <v>F</v>
      </c>
      <c r="F114" s="20" t="str">
        <f>VLOOKUP($A114,'MG Universe'!$A$2:$R$9994,6)</f>
        <v>EF</v>
      </c>
      <c r="G114" s="103">
        <f>VLOOKUP($A114,'MG Universe'!$A$2:$R$9994,7)</f>
        <v>42348</v>
      </c>
      <c r="H114" s="22">
        <f>VLOOKUP($A114,'MG Universe'!$A$2:$R$9994,8)</f>
        <v>111.71</v>
      </c>
      <c r="I114" s="22">
        <f>VLOOKUP($A114,'MG Universe'!$A$2:$R$9994,9)</f>
        <v>86.07</v>
      </c>
      <c r="J114" s="23">
        <f>VLOOKUP($A114,'MG Universe'!$A$2:$R$9994,10)</f>
        <v>0.77049999999999996</v>
      </c>
      <c r="K114" s="105">
        <f>VLOOKUP($A114,'MG Universe'!$A$2:$R$9994,11)</f>
        <v>25.77</v>
      </c>
      <c r="L114" s="23">
        <f>VLOOKUP($A114,'MG Universe'!$A$2:$R$9994,12)</f>
        <v>1.2200000000000001E-2</v>
      </c>
      <c r="M114" s="106">
        <f>VLOOKUP($A114,'MG Universe'!$A$2:$R$9994,13)</f>
        <v>0.8</v>
      </c>
      <c r="N114" s="107">
        <f>VLOOKUP($A114,'MG Universe'!$A$2:$R$9994,14)</f>
        <v>1.81</v>
      </c>
      <c r="O114" s="22">
        <f>VLOOKUP($A114,'MG Universe'!$A$2:$R$9994,15)</f>
        <v>-4.8099999999999996</v>
      </c>
      <c r="P114" s="23">
        <f>VLOOKUP($A114,'MG Universe'!$A$2:$R$9994,16)</f>
        <v>8.6300000000000002E-2</v>
      </c>
      <c r="Q114" s="109">
        <f>VLOOKUP($A114,'MG Universe'!$A$2:$R$9994,17)</f>
        <v>20</v>
      </c>
      <c r="R114" s="22">
        <f>VLOOKUP($A114,'MG Universe'!$A$2:$R$9994,18)</f>
        <v>37.770000000000003</v>
      </c>
    </row>
    <row r="115" spans="1:18" x14ac:dyDescent="0.55000000000000004">
      <c r="A115" s="18" t="s">
        <v>375</v>
      </c>
      <c r="B115" s="19" t="str">
        <f>VLOOKUP($A115,'MG Universe'!$A$2:$R$9994,2)</f>
        <v>Centurylink Inc</v>
      </c>
      <c r="C115" s="19" t="str">
        <f>VLOOKUP($A115,'MG Universe'!$A$2:$R$9994,3)</f>
        <v>C</v>
      </c>
      <c r="D115" s="19" t="str">
        <f>VLOOKUP($A115,'MG Universe'!$A$2:$R$9994,4)</f>
        <v>S</v>
      </c>
      <c r="E115" s="19" t="str">
        <f>VLOOKUP($A115,'MG Universe'!$A$2:$R$9994,5)</f>
        <v>O</v>
      </c>
      <c r="F115" s="20" t="str">
        <f>VLOOKUP($A115,'MG Universe'!$A$2:$R$9994,6)</f>
        <v>SO</v>
      </c>
      <c r="G115" s="103">
        <f>VLOOKUP($A115,'MG Universe'!$A$2:$R$9994,7)</f>
        <v>42412</v>
      </c>
      <c r="H115" s="22">
        <f>VLOOKUP($A115,'MG Universe'!$A$2:$R$9994,8)</f>
        <v>0</v>
      </c>
      <c r="I115" s="22">
        <f>VLOOKUP($A115,'MG Universe'!$A$2:$R$9994,9)</f>
        <v>31.15</v>
      </c>
      <c r="J115" s="23" t="str">
        <f>VLOOKUP($A115,'MG Universe'!$A$2:$R$9994,10)</f>
        <v>N/A</v>
      </c>
      <c r="K115" s="105">
        <f>VLOOKUP($A115,'MG Universe'!$A$2:$R$9994,11)</f>
        <v>22.09</v>
      </c>
      <c r="L115" s="23">
        <f>VLOOKUP($A115,'MG Universe'!$A$2:$R$9994,12)</f>
        <v>6.93E-2</v>
      </c>
      <c r="M115" s="106">
        <f>VLOOKUP($A115,'MG Universe'!$A$2:$R$9994,13)</f>
        <v>0.8</v>
      </c>
      <c r="N115" s="107">
        <f>VLOOKUP($A115,'MG Universe'!$A$2:$R$9994,14)</f>
        <v>0.57999999999999996</v>
      </c>
      <c r="O115" s="22">
        <f>VLOOKUP($A115,'MG Universe'!$A$2:$R$9994,15)</f>
        <v>-55.66</v>
      </c>
      <c r="P115" s="23">
        <f>VLOOKUP($A115,'MG Universe'!$A$2:$R$9994,16)</f>
        <v>6.8000000000000005E-2</v>
      </c>
      <c r="Q115" s="109">
        <f>VLOOKUP($A115,'MG Universe'!$A$2:$R$9994,17)</f>
        <v>0</v>
      </c>
      <c r="R115" s="22">
        <f>VLOOKUP($A115,'MG Universe'!$A$2:$R$9994,18)</f>
        <v>34.369999999999997</v>
      </c>
    </row>
    <row r="116" spans="1:18" x14ac:dyDescent="0.55000000000000004">
      <c r="A116" s="18" t="s">
        <v>233</v>
      </c>
      <c r="B116" s="19" t="str">
        <f>VLOOKUP($A116,'MG Universe'!$A$2:$R$9994,2)</f>
        <v>Cognizant Technology Solutions Corp</v>
      </c>
      <c r="C116" s="19" t="str">
        <f>VLOOKUP($A116,'MG Universe'!$A$2:$R$9994,3)</f>
        <v>B-</v>
      </c>
      <c r="D116" s="19" t="str">
        <f>VLOOKUP($A116,'MG Universe'!$A$2:$R$9994,4)</f>
        <v>E</v>
      </c>
      <c r="E116" s="19" t="str">
        <f>VLOOKUP($A116,'MG Universe'!$A$2:$R$9994,5)</f>
        <v>U</v>
      </c>
      <c r="F116" s="20" t="str">
        <f>VLOOKUP($A116,'MG Universe'!$A$2:$R$9994,6)</f>
        <v>EU</v>
      </c>
      <c r="G116" s="103">
        <f>VLOOKUP($A116,'MG Universe'!$A$2:$R$9994,7)</f>
        <v>42397</v>
      </c>
      <c r="H116" s="22">
        <f>VLOOKUP($A116,'MG Universe'!$A$2:$R$9994,8)</f>
        <v>86.56</v>
      </c>
      <c r="I116" s="22">
        <f>VLOOKUP($A116,'MG Universe'!$A$2:$R$9994,9)</f>
        <v>57.68</v>
      </c>
      <c r="J116" s="23">
        <f>VLOOKUP($A116,'MG Universe'!$A$2:$R$9994,10)</f>
        <v>0.66639999999999999</v>
      </c>
      <c r="K116" s="105">
        <f>VLOOKUP($A116,'MG Universe'!$A$2:$R$9994,11)</f>
        <v>25.64</v>
      </c>
      <c r="L116" s="23" t="str">
        <f>VLOOKUP($A116,'MG Universe'!$A$2:$R$9994,12)</f>
        <v>N/A</v>
      </c>
      <c r="M116" s="106">
        <f>VLOOKUP($A116,'MG Universe'!$A$2:$R$9994,13)</f>
        <v>1.3</v>
      </c>
      <c r="N116" s="107">
        <f>VLOOKUP($A116,'MG Universe'!$A$2:$R$9994,14)</f>
        <v>3.4</v>
      </c>
      <c r="O116" s="22">
        <f>VLOOKUP($A116,'MG Universe'!$A$2:$R$9994,15)</f>
        <v>6.2</v>
      </c>
      <c r="P116" s="23">
        <f>VLOOKUP($A116,'MG Universe'!$A$2:$R$9994,16)</f>
        <v>8.5699999999999998E-2</v>
      </c>
      <c r="Q116" s="109">
        <f>VLOOKUP($A116,'MG Universe'!$A$2:$R$9994,17)</f>
        <v>0</v>
      </c>
      <c r="R116" s="22">
        <f>VLOOKUP($A116,'MG Universe'!$A$2:$R$9994,18)</f>
        <v>29.59</v>
      </c>
    </row>
    <row r="117" spans="1:18" x14ac:dyDescent="0.55000000000000004">
      <c r="A117" s="18" t="s">
        <v>866</v>
      </c>
      <c r="B117" s="19" t="str">
        <f>VLOOKUP($A117,'MG Universe'!$A$2:$R$9994,2)</f>
        <v>Citrix Systems, Inc.</v>
      </c>
      <c r="C117" s="19" t="str">
        <f>VLOOKUP($A117,'MG Universe'!$A$2:$R$9994,3)</f>
        <v>D+</v>
      </c>
      <c r="D117" s="19" t="str">
        <f>VLOOKUP($A117,'MG Universe'!$A$2:$R$9994,4)</f>
        <v>S</v>
      </c>
      <c r="E117" s="19" t="str">
        <f>VLOOKUP($A117,'MG Universe'!$A$2:$R$9994,5)</f>
        <v>F</v>
      </c>
      <c r="F117" s="20" t="str">
        <f>VLOOKUP($A117,'MG Universe'!$A$2:$R$9994,6)</f>
        <v>SF</v>
      </c>
      <c r="G117" s="103">
        <f>VLOOKUP($A117,'MG Universe'!$A$2:$R$9994,7)</f>
        <v>42002</v>
      </c>
      <c r="H117" s="22">
        <f>VLOOKUP($A117,'MG Universe'!$A$2:$R$9994,8)</f>
        <v>83.51</v>
      </c>
      <c r="I117" s="22">
        <f>VLOOKUP($A117,'MG Universe'!$A$2:$R$9994,9)</f>
        <v>74.03</v>
      </c>
      <c r="J117" s="23">
        <f>VLOOKUP($A117,'MG Universe'!$A$2:$R$9994,10)</f>
        <v>0.88649999999999995</v>
      </c>
      <c r="K117" s="105">
        <f>VLOOKUP($A117,'MG Universe'!$A$2:$R$9994,11)</f>
        <v>32.61</v>
      </c>
      <c r="L117" s="23" t="str">
        <f>VLOOKUP($A117,'MG Universe'!$A$2:$R$9994,12)</f>
        <v>N/A</v>
      </c>
      <c r="M117" s="106">
        <f>VLOOKUP($A117,'MG Universe'!$A$2:$R$9994,13)</f>
        <v>1.9</v>
      </c>
      <c r="N117" s="107">
        <f>VLOOKUP($A117,'MG Universe'!$A$2:$R$9994,14)</f>
        <v>0.99</v>
      </c>
      <c r="O117" s="22">
        <f>VLOOKUP($A117,'MG Universe'!$A$2:$R$9994,15)</f>
        <v>-10.199999999999999</v>
      </c>
      <c r="P117" s="23">
        <f>VLOOKUP($A117,'MG Universe'!$A$2:$R$9994,16)</f>
        <v>0.1206</v>
      </c>
      <c r="Q117" s="109">
        <f>VLOOKUP($A117,'MG Universe'!$A$2:$R$9994,17)</f>
        <v>0</v>
      </c>
      <c r="R117" s="22">
        <f>VLOOKUP($A117,'MG Universe'!$A$2:$R$9994,18)</f>
        <v>0</v>
      </c>
    </row>
    <row r="118" spans="1:18" x14ac:dyDescent="0.55000000000000004">
      <c r="A118" s="18" t="s">
        <v>512</v>
      </c>
      <c r="B118" s="19" t="str">
        <f>VLOOKUP($A118,'MG Universe'!$A$2:$R$9994,2)</f>
        <v>Cablevision Systems Corporation</v>
      </c>
      <c r="C118" s="19" t="str">
        <f>VLOOKUP($A118,'MG Universe'!$A$2:$R$9994,3)</f>
        <v>C-</v>
      </c>
      <c r="D118" s="19" t="str">
        <f>VLOOKUP($A118,'MG Universe'!$A$2:$R$9994,4)</f>
        <v>S</v>
      </c>
      <c r="E118" s="19" t="str">
        <f>VLOOKUP($A118,'MG Universe'!$A$2:$R$9994,5)</f>
        <v>U</v>
      </c>
      <c r="F118" s="20" t="str">
        <f>VLOOKUP($A118,'MG Universe'!$A$2:$R$9994,6)</f>
        <v>SU</v>
      </c>
      <c r="G118" s="103">
        <f>VLOOKUP($A118,'MG Universe'!$A$2:$R$9994,7)</f>
        <v>42029</v>
      </c>
      <c r="H118" s="22">
        <f>VLOOKUP($A118,'MG Universe'!$A$2:$R$9994,8)</f>
        <v>45.56</v>
      </c>
      <c r="I118" s="22">
        <f>VLOOKUP($A118,'MG Universe'!$A$2:$R$9994,9)</f>
        <v>32.909999999999997</v>
      </c>
      <c r="J118" s="23">
        <f>VLOOKUP($A118,'MG Universe'!$A$2:$R$9994,10)</f>
        <v>0.72230000000000005</v>
      </c>
      <c r="K118" s="105">
        <f>VLOOKUP($A118,'MG Universe'!$A$2:$R$9994,11)</f>
        <v>27.89</v>
      </c>
      <c r="L118" s="23">
        <f>VLOOKUP($A118,'MG Universe'!$A$2:$R$9994,12)</f>
        <v>1.8200000000000001E-2</v>
      </c>
      <c r="M118" s="106">
        <f>VLOOKUP($A118,'MG Universe'!$A$2:$R$9994,13)</f>
        <v>1</v>
      </c>
      <c r="N118" s="107">
        <f>VLOOKUP($A118,'MG Universe'!$A$2:$R$9994,14)</f>
        <v>1.1000000000000001</v>
      </c>
      <c r="O118" s="22">
        <f>VLOOKUP($A118,'MG Universe'!$A$2:$R$9994,15)</f>
        <v>-36.22</v>
      </c>
      <c r="P118" s="23">
        <f>VLOOKUP($A118,'MG Universe'!$A$2:$R$9994,16)</f>
        <v>9.69E-2</v>
      </c>
      <c r="Q118" s="109">
        <f>VLOOKUP($A118,'MG Universe'!$A$2:$R$9994,17)</f>
        <v>0</v>
      </c>
      <c r="R118" s="22">
        <f>VLOOKUP($A118,'MG Universe'!$A$2:$R$9994,18)</f>
        <v>0</v>
      </c>
    </row>
    <row r="119" spans="1:18" x14ac:dyDescent="0.55000000000000004">
      <c r="A119" s="18" t="s">
        <v>868</v>
      </c>
      <c r="B119" s="19" t="str">
        <f>VLOOKUP($A119,'MG Universe'!$A$2:$R$9994,2)</f>
        <v>CVS Health Corp</v>
      </c>
      <c r="C119" s="19" t="str">
        <f>VLOOKUP($A119,'MG Universe'!$A$2:$R$9994,3)</f>
        <v>D+</v>
      </c>
      <c r="D119" s="19" t="str">
        <f>VLOOKUP($A119,'MG Universe'!$A$2:$R$9994,4)</f>
        <v>S</v>
      </c>
      <c r="E119" s="19" t="str">
        <f>VLOOKUP($A119,'MG Universe'!$A$2:$R$9994,5)</f>
        <v>F</v>
      </c>
      <c r="F119" s="20" t="str">
        <f>VLOOKUP($A119,'MG Universe'!$A$2:$R$9994,6)</f>
        <v>SF</v>
      </c>
      <c r="G119" s="103">
        <f>VLOOKUP($A119,'MG Universe'!$A$2:$R$9994,7)</f>
        <v>42349</v>
      </c>
      <c r="H119" s="22">
        <f>VLOOKUP($A119,'MG Universe'!$A$2:$R$9994,8)</f>
        <v>108.55</v>
      </c>
      <c r="I119" s="22">
        <f>VLOOKUP($A119,'MG Universe'!$A$2:$R$9994,9)</f>
        <v>98.63</v>
      </c>
      <c r="J119" s="23">
        <f>VLOOKUP($A119,'MG Universe'!$A$2:$R$9994,10)</f>
        <v>0.90859999999999996</v>
      </c>
      <c r="K119" s="105">
        <f>VLOOKUP($A119,'MG Universe'!$A$2:$R$9994,11)</f>
        <v>24.78</v>
      </c>
      <c r="L119" s="23">
        <f>VLOOKUP($A119,'MG Universe'!$A$2:$R$9994,12)</f>
        <v>1.72E-2</v>
      </c>
      <c r="M119" s="106">
        <f>VLOOKUP($A119,'MG Universe'!$A$2:$R$9994,13)</f>
        <v>0.9</v>
      </c>
      <c r="N119" s="107">
        <f>VLOOKUP($A119,'MG Universe'!$A$2:$R$9994,14)</f>
        <v>1.43</v>
      </c>
      <c r="O119" s="22">
        <f>VLOOKUP($A119,'MG Universe'!$A$2:$R$9994,15)</f>
        <v>-21.8</v>
      </c>
      <c r="P119" s="23">
        <f>VLOOKUP($A119,'MG Universe'!$A$2:$R$9994,16)</f>
        <v>8.14E-2</v>
      </c>
      <c r="Q119" s="109">
        <f>VLOOKUP($A119,'MG Universe'!$A$2:$R$9994,17)</f>
        <v>12</v>
      </c>
      <c r="R119" s="22">
        <f>VLOOKUP($A119,'MG Universe'!$A$2:$R$9994,18)</f>
        <v>60.18</v>
      </c>
    </row>
    <row r="120" spans="1:18" x14ac:dyDescent="0.55000000000000004">
      <c r="A120" s="18" t="s">
        <v>870</v>
      </c>
      <c r="B120" s="19" t="str">
        <f>VLOOKUP($A120,'MG Universe'!$A$2:$R$9994,2)</f>
        <v>Chevron Corporation</v>
      </c>
      <c r="C120" s="19" t="str">
        <f>VLOOKUP($A120,'MG Universe'!$A$2:$R$9994,3)</f>
        <v>D+</v>
      </c>
      <c r="D120" s="19" t="str">
        <f>VLOOKUP($A120,'MG Universe'!$A$2:$R$9994,4)</f>
        <v>S</v>
      </c>
      <c r="E120" s="19" t="str">
        <f>VLOOKUP($A120,'MG Universe'!$A$2:$R$9994,5)</f>
        <v>O</v>
      </c>
      <c r="F120" s="20" t="str">
        <f>VLOOKUP($A120,'MG Universe'!$A$2:$R$9994,6)</f>
        <v>SO</v>
      </c>
      <c r="G120" s="103">
        <f>VLOOKUP($A120,'MG Universe'!$A$2:$R$9994,7)</f>
        <v>42157</v>
      </c>
      <c r="H120" s="22">
        <f>VLOOKUP($A120,'MG Universe'!$A$2:$R$9994,8)</f>
        <v>33.69</v>
      </c>
      <c r="I120" s="22">
        <f>VLOOKUP($A120,'MG Universe'!$A$2:$R$9994,9)</f>
        <v>87.15</v>
      </c>
      <c r="J120" s="23">
        <f>VLOOKUP($A120,'MG Universe'!$A$2:$R$9994,10)</f>
        <v>2.5868000000000002</v>
      </c>
      <c r="K120" s="105">
        <f>VLOOKUP($A120,'MG Universe'!$A$2:$R$9994,11)</f>
        <v>10.1</v>
      </c>
      <c r="L120" s="23">
        <f>VLOOKUP($A120,'MG Universe'!$A$2:$R$9994,12)</f>
        <v>4.9099999999999998E-2</v>
      </c>
      <c r="M120" s="106">
        <f>VLOOKUP($A120,'MG Universe'!$A$2:$R$9994,13)</f>
        <v>1.1000000000000001</v>
      </c>
      <c r="N120" s="107">
        <f>VLOOKUP($A120,'MG Universe'!$A$2:$R$9994,14)</f>
        <v>1.4</v>
      </c>
      <c r="O120" s="22">
        <f>VLOOKUP($A120,'MG Universe'!$A$2:$R$9994,15)</f>
        <v>-38.65</v>
      </c>
      <c r="P120" s="23">
        <f>VLOOKUP($A120,'MG Universe'!$A$2:$R$9994,16)</f>
        <v>8.0000000000000002E-3</v>
      </c>
      <c r="Q120" s="109">
        <f>VLOOKUP($A120,'MG Universe'!$A$2:$R$9994,17)</f>
        <v>0</v>
      </c>
      <c r="R120" s="22">
        <f>VLOOKUP($A120,'MG Universe'!$A$2:$R$9994,18)</f>
        <v>0</v>
      </c>
    </row>
    <row r="121" spans="1:18" x14ac:dyDescent="0.55000000000000004">
      <c r="A121" s="18" t="s">
        <v>43</v>
      </c>
      <c r="B121" s="19" t="str">
        <f>VLOOKUP($A121,'MG Universe'!$A$2:$R$9994,2)</f>
        <v>Dominion Resources, Inc.</v>
      </c>
      <c r="C121" s="19" t="str">
        <f>VLOOKUP($A121,'MG Universe'!$A$2:$R$9994,3)</f>
        <v>D</v>
      </c>
      <c r="D121" s="19" t="str">
        <f>VLOOKUP($A121,'MG Universe'!$A$2:$R$9994,4)</f>
        <v>S</v>
      </c>
      <c r="E121" s="19" t="str">
        <f>VLOOKUP($A121,'MG Universe'!$A$2:$R$9994,5)</f>
        <v>O</v>
      </c>
      <c r="F121" s="20" t="str">
        <f>VLOOKUP($A121,'MG Universe'!$A$2:$R$9994,6)</f>
        <v>SO</v>
      </c>
      <c r="G121" s="103">
        <f>VLOOKUP($A121,'MG Universe'!$A$2:$R$9994,7)</f>
        <v>42045</v>
      </c>
      <c r="H121" s="22">
        <f>VLOOKUP($A121,'MG Universe'!$A$2:$R$9994,8)</f>
        <v>6.48</v>
      </c>
      <c r="I121" s="22">
        <f>VLOOKUP($A121,'MG Universe'!$A$2:$R$9994,9)</f>
        <v>68.77</v>
      </c>
      <c r="J121" s="23">
        <f>VLOOKUP($A121,'MG Universe'!$A$2:$R$9994,10)</f>
        <v>10.6127</v>
      </c>
      <c r="K121" s="105">
        <f>VLOOKUP($A121,'MG Universe'!$A$2:$R$9994,11)</f>
        <v>25.1</v>
      </c>
      <c r="L121" s="23">
        <f>VLOOKUP($A121,'MG Universe'!$A$2:$R$9994,12)</f>
        <v>4.07E-2</v>
      </c>
      <c r="M121" s="106">
        <f>VLOOKUP($A121,'MG Universe'!$A$2:$R$9994,13)</f>
        <v>0.1</v>
      </c>
      <c r="N121" s="107">
        <f>VLOOKUP($A121,'MG Universe'!$A$2:$R$9994,14)</f>
        <v>0.72</v>
      </c>
      <c r="O121" s="22">
        <f>VLOOKUP($A121,'MG Universe'!$A$2:$R$9994,15)</f>
        <v>-60.31</v>
      </c>
      <c r="P121" s="23">
        <f>VLOOKUP($A121,'MG Universe'!$A$2:$R$9994,16)</f>
        <v>8.3000000000000004E-2</v>
      </c>
      <c r="Q121" s="109">
        <f>VLOOKUP($A121,'MG Universe'!$A$2:$R$9994,17)</f>
        <v>0</v>
      </c>
      <c r="R121" s="22">
        <f>VLOOKUP($A121,'MG Universe'!$A$2:$R$9994,18)</f>
        <v>0</v>
      </c>
    </row>
    <row r="122" spans="1:18" x14ac:dyDescent="0.55000000000000004">
      <c r="A122" s="18" t="s">
        <v>514</v>
      </c>
      <c r="B122" s="19" t="str">
        <f>VLOOKUP($A122,'MG Universe'!$A$2:$R$9994,2)</f>
        <v>Delta Air Lines, Inc.</v>
      </c>
      <c r="C122" s="19" t="str">
        <f>VLOOKUP($A122,'MG Universe'!$A$2:$R$9994,3)</f>
        <v>C-</v>
      </c>
      <c r="D122" s="19" t="str">
        <f>VLOOKUP($A122,'MG Universe'!$A$2:$R$9994,4)</f>
        <v>S</v>
      </c>
      <c r="E122" s="19" t="str">
        <f>VLOOKUP($A122,'MG Universe'!$A$2:$R$9994,5)</f>
        <v>U</v>
      </c>
      <c r="F122" s="20" t="str">
        <f>VLOOKUP($A122,'MG Universe'!$A$2:$R$9994,6)</f>
        <v>SU</v>
      </c>
      <c r="G122" s="103">
        <f>VLOOKUP($A122,'MG Universe'!$A$2:$R$9994,7)</f>
        <v>42053</v>
      </c>
      <c r="H122" s="22">
        <f>VLOOKUP($A122,'MG Universe'!$A$2:$R$9994,8)</f>
        <v>152.33000000000001</v>
      </c>
      <c r="I122" s="22">
        <f>VLOOKUP($A122,'MG Universe'!$A$2:$R$9994,9)</f>
        <v>48.55</v>
      </c>
      <c r="J122" s="23">
        <f>VLOOKUP($A122,'MG Universe'!$A$2:$R$9994,10)</f>
        <v>0.31869999999999998</v>
      </c>
      <c r="K122" s="105">
        <f>VLOOKUP($A122,'MG Universe'!$A$2:$R$9994,11)</f>
        <v>12.26</v>
      </c>
      <c r="L122" s="23">
        <f>VLOOKUP($A122,'MG Universe'!$A$2:$R$9994,12)</f>
        <v>1.11E-2</v>
      </c>
      <c r="M122" s="106">
        <f>VLOOKUP($A122,'MG Universe'!$A$2:$R$9994,13)</f>
        <v>1.1000000000000001</v>
      </c>
      <c r="N122" s="107">
        <f>VLOOKUP($A122,'MG Universe'!$A$2:$R$9994,14)</f>
        <v>0.74</v>
      </c>
      <c r="O122" s="22">
        <f>VLOOKUP($A122,'MG Universe'!$A$2:$R$9994,15)</f>
        <v>-39.43</v>
      </c>
      <c r="P122" s="23">
        <f>VLOOKUP($A122,'MG Universe'!$A$2:$R$9994,16)</f>
        <v>1.8800000000000001E-2</v>
      </c>
      <c r="Q122" s="109">
        <f>VLOOKUP($A122,'MG Universe'!$A$2:$R$9994,17)</f>
        <v>0</v>
      </c>
      <c r="R122" s="22">
        <f>VLOOKUP($A122,'MG Universe'!$A$2:$R$9994,18)</f>
        <v>0</v>
      </c>
    </row>
    <row r="123" spans="1:18" x14ac:dyDescent="0.55000000000000004">
      <c r="A123" s="18" t="s">
        <v>23</v>
      </c>
      <c r="B123" s="19" t="str">
        <f>VLOOKUP($A123,'MG Universe'!$A$2:$R$9994,2)</f>
        <v>E I Du Pont De Nemours And Co</v>
      </c>
      <c r="C123" s="19" t="str">
        <f>VLOOKUP($A123,'MG Universe'!$A$2:$R$9994,3)</f>
        <v>C+</v>
      </c>
      <c r="D123" s="19" t="str">
        <f>VLOOKUP($A123,'MG Universe'!$A$2:$R$9994,4)</f>
        <v>E</v>
      </c>
      <c r="E123" s="19" t="str">
        <f>VLOOKUP($A123,'MG Universe'!$A$2:$R$9994,5)</f>
        <v>O</v>
      </c>
      <c r="F123" s="20" t="str">
        <f>VLOOKUP($A123,'MG Universe'!$A$2:$R$9994,6)</f>
        <v>EO</v>
      </c>
      <c r="G123" s="103">
        <f>VLOOKUP($A123,'MG Universe'!$A$2:$R$9994,7)</f>
        <v>42426</v>
      </c>
      <c r="H123" s="22">
        <f>VLOOKUP($A123,'MG Universe'!$A$2:$R$9994,8)</f>
        <v>33.74</v>
      </c>
      <c r="I123" s="22">
        <f>VLOOKUP($A123,'MG Universe'!$A$2:$R$9994,9)</f>
        <v>62.17</v>
      </c>
      <c r="J123" s="23">
        <f>VLOOKUP($A123,'MG Universe'!$A$2:$R$9994,10)</f>
        <v>1.8426</v>
      </c>
      <c r="K123" s="105">
        <f>VLOOKUP($A123,'MG Universe'!$A$2:$R$9994,11)</f>
        <v>19.37</v>
      </c>
      <c r="L123" s="23">
        <f>VLOOKUP($A123,'MG Universe'!$A$2:$R$9994,12)</f>
        <v>2.4400000000000002E-2</v>
      </c>
      <c r="M123" s="106">
        <f>VLOOKUP($A123,'MG Universe'!$A$2:$R$9994,13)</f>
        <v>1.8</v>
      </c>
      <c r="N123" s="107">
        <f>VLOOKUP($A123,'MG Universe'!$A$2:$R$9994,14)</f>
        <v>1.71</v>
      </c>
      <c r="O123" s="22">
        <f>VLOOKUP($A123,'MG Universe'!$A$2:$R$9994,15)</f>
        <v>-14.92</v>
      </c>
      <c r="P123" s="23">
        <f>VLOOKUP($A123,'MG Universe'!$A$2:$R$9994,16)</f>
        <v>5.4300000000000001E-2</v>
      </c>
      <c r="Q123" s="109">
        <f>VLOOKUP($A123,'MG Universe'!$A$2:$R$9994,17)</f>
        <v>0</v>
      </c>
      <c r="R123" s="22">
        <f>VLOOKUP($A123,'MG Universe'!$A$2:$R$9994,18)</f>
        <v>27.03</v>
      </c>
    </row>
    <row r="124" spans="1:18" x14ac:dyDescent="0.55000000000000004">
      <c r="A124" s="18" t="s">
        <v>235</v>
      </c>
      <c r="B124" s="19" t="str">
        <f>VLOOKUP($A124,'MG Universe'!$A$2:$R$9994,2)</f>
        <v>Deere &amp; Company</v>
      </c>
      <c r="C124" s="19" t="str">
        <f>VLOOKUP($A124,'MG Universe'!$A$2:$R$9994,3)</f>
        <v>B-</v>
      </c>
      <c r="D124" s="19" t="str">
        <f>VLOOKUP($A124,'MG Universe'!$A$2:$R$9994,4)</f>
        <v>D</v>
      </c>
      <c r="E124" s="19" t="str">
        <f>VLOOKUP($A124,'MG Universe'!$A$2:$R$9994,5)</f>
        <v>O</v>
      </c>
      <c r="F124" s="20" t="str">
        <f>VLOOKUP($A124,'MG Universe'!$A$2:$R$9994,6)</f>
        <v>DO</v>
      </c>
      <c r="G124" s="103">
        <f>VLOOKUP($A124,'MG Universe'!$A$2:$R$9994,7)</f>
        <v>42373</v>
      </c>
      <c r="H124" s="22">
        <f>VLOOKUP($A124,'MG Universe'!$A$2:$R$9994,8)</f>
        <v>66.67</v>
      </c>
      <c r="I124" s="22">
        <f>VLOOKUP($A124,'MG Universe'!$A$2:$R$9994,9)</f>
        <v>81.88</v>
      </c>
      <c r="J124" s="23">
        <f>VLOOKUP($A124,'MG Universe'!$A$2:$R$9994,10)</f>
        <v>1.2281</v>
      </c>
      <c r="K124" s="105">
        <f>VLOOKUP($A124,'MG Universe'!$A$2:$R$9994,11)</f>
        <v>13.21</v>
      </c>
      <c r="L124" s="23">
        <f>VLOOKUP($A124,'MG Universe'!$A$2:$R$9994,12)</f>
        <v>2.93E-2</v>
      </c>
      <c r="M124" s="106">
        <f>VLOOKUP($A124,'MG Universe'!$A$2:$R$9994,13)</f>
        <v>1.1000000000000001</v>
      </c>
      <c r="N124" s="107">
        <f>VLOOKUP($A124,'MG Universe'!$A$2:$R$9994,14)</f>
        <v>2.06</v>
      </c>
      <c r="O124" s="22">
        <f>VLOOKUP($A124,'MG Universe'!$A$2:$R$9994,15)</f>
        <v>-27.96</v>
      </c>
      <c r="P124" s="23">
        <f>VLOOKUP($A124,'MG Universe'!$A$2:$R$9994,16)</f>
        <v>2.35E-2</v>
      </c>
      <c r="Q124" s="109">
        <f>VLOOKUP($A124,'MG Universe'!$A$2:$R$9994,17)</f>
        <v>13</v>
      </c>
      <c r="R124" s="22">
        <f>VLOOKUP($A124,'MG Universe'!$A$2:$R$9994,18)</f>
        <v>41.08</v>
      </c>
    </row>
    <row r="125" spans="1:18" x14ac:dyDescent="0.55000000000000004">
      <c r="A125" s="18" t="s">
        <v>46</v>
      </c>
      <c r="B125" s="19" t="str">
        <f>VLOOKUP($A125,'MG Universe'!$A$2:$R$9994,2)</f>
        <v>Discover Financial Services</v>
      </c>
      <c r="C125" s="19" t="str">
        <f>VLOOKUP($A125,'MG Universe'!$A$2:$R$9994,3)</f>
        <v>A</v>
      </c>
      <c r="D125" s="19" t="str">
        <f>VLOOKUP($A125,'MG Universe'!$A$2:$R$9994,4)</f>
        <v>D</v>
      </c>
      <c r="E125" s="19" t="str">
        <f>VLOOKUP($A125,'MG Universe'!$A$2:$R$9994,5)</f>
        <v>U</v>
      </c>
      <c r="F125" s="20" t="str">
        <f>VLOOKUP($A125,'MG Universe'!$A$2:$R$9994,6)</f>
        <v>DU</v>
      </c>
      <c r="G125" s="103">
        <f>VLOOKUP($A125,'MG Universe'!$A$2:$R$9994,7)</f>
        <v>42409</v>
      </c>
      <c r="H125" s="22">
        <f>VLOOKUP($A125,'MG Universe'!$A$2:$R$9994,8)</f>
        <v>123.2</v>
      </c>
      <c r="I125" s="22">
        <f>VLOOKUP($A125,'MG Universe'!$A$2:$R$9994,9)</f>
        <v>48.09</v>
      </c>
      <c r="J125" s="23">
        <f>VLOOKUP($A125,'MG Universe'!$A$2:$R$9994,10)</f>
        <v>0.39029999999999998</v>
      </c>
      <c r="K125" s="105">
        <f>VLOOKUP($A125,'MG Universe'!$A$2:$R$9994,11)</f>
        <v>9.6</v>
      </c>
      <c r="L125" s="23">
        <f>VLOOKUP($A125,'MG Universe'!$A$2:$R$9994,12)</f>
        <v>2.3300000000000001E-2</v>
      </c>
      <c r="M125" s="106">
        <f>VLOOKUP($A125,'MG Universe'!$A$2:$R$9994,13)</f>
        <v>1.1000000000000001</v>
      </c>
      <c r="N125" s="107" t="str">
        <f>VLOOKUP($A125,'MG Universe'!$A$2:$R$9994,14)</f>
        <v>N/A</v>
      </c>
      <c r="O125" s="22" t="str">
        <f>VLOOKUP($A125,'MG Universe'!$A$2:$R$9994,15)</f>
        <v>N/A</v>
      </c>
      <c r="P125" s="23">
        <f>VLOOKUP($A125,'MG Universe'!$A$2:$R$9994,16)</f>
        <v>5.4999999999999997E-3</v>
      </c>
      <c r="Q125" s="109">
        <f>VLOOKUP($A125,'MG Universe'!$A$2:$R$9994,17)</f>
        <v>6</v>
      </c>
      <c r="R125" s="22">
        <f>VLOOKUP($A125,'MG Universe'!$A$2:$R$9994,18)</f>
        <v>56.05</v>
      </c>
    </row>
    <row r="126" spans="1:18" x14ac:dyDescent="0.55000000000000004">
      <c r="A126" s="18" t="s">
        <v>516</v>
      </c>
      <c r="B126" s="19" t="str">
        <f>VLOOKUP($A126,'MG Universe'!$A$2:$R$9994,2)</f>
        <v>Dollar General Corp.</v>
      </c>
      <c r="C126" s="19" t="str">
        <f>VLOOKUP($A126,'MG Universe'!$A$2:$R$9994,3)</f>
        <v>C-</v>
      </c>
      <c r="D126" s="19" t="str">
        <f>VLOOKUP($A126,'MG Universe'!$A$2:$R$9994,4)</f>
        <v>S</v>
      </c>
      <c r="E126" s="19" t="str">
        <f>VLOOKUP($A126,'MG Universe'!$A$2:$R$9994,5)</f>
        <v>U</v>
      </c>
      <c r="F126" s="20" t="str">
        <f>VLOOKUP($A126,'MG Universe'!$A$2:$R$9994,6)</f>
        <v>SU</v>
      </c>
      <c r="G126" s="103">
        <f>VLOOKUP($A126,'MG Universe'!$A$2:$R$9994,7)</f>
        <v>42095</v>
      </c>
      <c r="H126" s="22">
        <f>VLOOKUP($A126,'MG Universe'!$A$2:$R$9994,8)</f>
        <v>115.35</v>
      </c>
      <c r="I126" s="22">
        <f>VLOOKUP($A126,'MG Universe'!$A$2:$R$9994,9)</f>
        <v>74.790000000000006</v>
      </c>
      <c r="J126" s="23">
        <f>VLOOKUP($A126,'MG Universe'!$A$2:$R$9994,10)</f>
        <v>0.64839999999999998</v>
      </c>
      <c r="K126" s="105">
        <f>VLOOKUP($A126,'MG Universe'!$A$2:$R$9994,11)</f>
        <v>24.93</v>
      </c>
      <c r="L126" s="23">
        <f>VLOOKUP($A126,'MG Universe'!$A$2:$R$9994,12)</f>
        <v>1.18E-2</v>
      </c>
      <c r="M126" s="106">
        <f>VLOOKUP($A126,'MG Universe'!$A$2:$R$9994,13)</f>
        <v>0.4</v>
      </c>
      <c r="N126" s="107">
        <f>VLOOKUP($A126,'MG Universe'!$A$2:$R$9994,14)</f>
        <v>1.78</v>
      </c>
      <c r="O126" s="22">
        <f>VLOOKUP($A126,'MG Universe'!$A$2:$R$9994,15)</f>
        <v>-6.51</v>
      </c>
      <c r="P126" s="23">
        <f>VLOOKUP($A126,'MG Universe'!$A$2:$R$9994,16)</f>
        <v>8.2199999999999995E-2</v>
      </c>
      <c r="Q126" s="109">
        <f>VLOOKUP($A126,'MG Universe'!$A$2:$R$9994,17)</f>
        <v>0</v>
      </c>
      <c r="R126" s="22">
        <f>VLOOKUP($A126,'MG Universe'!$A$2:$R$9994,18)</f>
        <v>0</v>
      </c>
    </row>
    <row r="127" spans="1:18" x14ac:dyDescent="0.55000000000000004">
      <c r="A127" s="18" t="s">
        <v>163</v>
      </c>
      <c r="B127" s="19" t="str">
        <f>VLOOKUP($A127,'MG Universe'!$A$2:$R$9994,2)</f>
        <v>Quest Diagnostics Inc</v>
      </c>
      <c r="C127" s="19" t="str">
        <f>VLOOKUP($A127,'MG Universe'!$A$2:$R$9994,3)</f>
        <v>B</v>
      </c>
      <c r="D127" s="19" t="str">
        <f>VLOOKUP($A127,'MG Universe'!$A$2:$R$9994,4)</f>
        <v>D</v>
      </c>
      <c r="E127" s="19" t="str">
        <f>VLOOKUP($A127,'MG Universe'!$A$2:$R$9994,5)</f>
        <v>F</v>
      </c>
      <c r="F127" s="20" t="str">
        <f>VLOOKUP($A127,'MG Universe'!$A$2:$R$9994,6)</f>
        <v>DF</v>
      </c>
      <c r="G127" s="103">
        <f>VLOOKUP($A127,'MG Universe'!$A$2:$R$9994,7)</f>
        <v>42395</v>
      </c>
      <c r="H127" s="22">
        <f>VLOOKUP($A127,'MG Universe'!$A$2:$R$9994,8)</f>
        <v>77.040000000000006</v>
      </c>
      <c r="I127" s="22">
        <f>VLOOKUP($A127,'MG Universe'!$A$2:$R$9994,9)</f>
        <v>67.930000000000007</v>
      </c>
      <c r="J127" s="23">
        <f>VLOOKUP($A127,'MG Universe'!$A$2:$R$9994,10)</f>
        <v>0.88170000000000004</v>
      </c>
      <c r="K127" s="105">
        <f>VLOOKUP($A127,'MG Universe'!$A$2:$R$9994,11)</f>
        <v>15.58</v>
      </c>
      <c r="L127" s="23">
        <f>VLOOKUP($A127,'MG Universe'!$A$2:$R$9994,12)</f>
        <v>2.3599999999999999E-2</v>
      </c>
      <c r="M127" s="106">
        <f>VLOOKUP($A127,'MG Universe'!$A$2:$R$9994,13)</f>
        <v>0.7</v>
      </c>
      <c r="N127" s="107">
        <f>VLOOKUP($A127,'MG Universe'!$A$2:$R$9994,14)</f>
        <v>1.45</v>
      </c>
      <c r="O127" s="22">
        <f>VLOOKUP($A127,'MG Universe'!$A$2:$R$9994,15)</f>
        <v>-26.46</v>
      </c>
      <c r="P127" s="23">
        <f>VLOOKUP($A127,'MG Universe'!$A$2:$R$9994,16)</f>
        <v>3.5400000000000001E-2</v>
      </c>
      <c r="Q127" s="109">
        <f>VLOOKUP($A127,'MG Universe'!$A$2:$R$9994,17)</f>
        <v>1</v>
      </c>
      <c r="R127" s="22">
        <f>VLOOKUP($A127,'MG Universe'!$A$2:$R$9994,18)</f>
        <v>58.3</v>
      </c>
    </row>
    <row r="128" spans="1:18" x14ac:dyDescent="0.55000000000000004">
      <c r="A128" s="18" t="s">
        <v>308</v>
      </c>
      <c r="B128" s="19" t="str">
        <f>VLOOKUP($A128,'MG Universe'!$A$2:$R$9994,2)</f>
        <v>D.R. Horton, Inc.</v>
      </c>
      <c r="C128" s="19" t="str">
        <f>VLOOKUP($A128,'MG Universe'!$A$2:$R$9994,3)</f>
        <v>B+</v>
      </c>
      <c r="D128" s="19" t="str">
        <f>VLOOKUP($A128,'MG Universe'!$A$2:$R$9994,4)</f>
        <v>E</v>
      </c>
      <c r="E128" s="19" t="str">
        <f>VLOOKUP($A128,'MG Universe'!$A$2:$R$9994,5)</f>
        <v>U</v>
      </c>
      <c r="F128" s="20" t="str">
        <f>VLOOKUP($A128,'MG Universe'!$A$2:$R$9994,6)</f>
        <v>EU</v>
      </c>
      <c r="G128" s="103">
        <f>VLOOKUP($A128,'MG Universe'!$A$2:$R$9994,7)</f>
        <v>42396</v>
      </c>
      <c r="H128" s="22">
        <f>VLOOKUP($A128,'MG Universe'!$A$2:$R$9994,8)</f>
        <v>74.819999999999993</v>
      </c>
      <c r="I128" s="22">
        <f>VLOOKUP($A128,'MG Universe'!$A$2:$R$9994,9)</f>
        <v>28.05</v>
      </c>
      <c r="J128" s="23">
        <f>VLOOKUP($A128,'MG Universe'!$A$2:$R$9994,10)</f>
        <v>0.37490000000000001</v>
      </c>
      <c r="K128" s="105">
        <f>VLOOKUP($A128,'MG Universe'!$A$2:$R$9994,11)</f>
        <v>14.46</v>
      </c>
      <c r="L128" s="23">
        <f>VLOOKUP($A128,'MG Universe'!$A$2:$R$9994,12)</f>
        <v>1.14E-2</v>
      </c>
      <c r="M128" s="106">
        <f>VLOOKUP($A128,'MG Universe'!$A$2:$R$9994,13)</f>
        <v>1.4</v>
      </c>
      <c r="N128" s="107">
        <f>VLOOKUP($A128,'MG Universe'!$A$2:$R$9994,14)</f>
        <v>6.76</v>
      </c>
      <c r="O128" s="22">
        <f>VLOOKUP($A128,'MG Universe'!$A$2:$R$9994,15)</f>
        <v>11.52</v>
      </c>
      <c r="P128" s="23">
        <f>VLOOKUP($A128,'MG Universe'!$A$2:$R$9994,16)</f>
        <v>2.98E-2</v>
      </c>
      <c r="Q128" s="109">
        <f>VLOOKUP($A128,'MG Universe'!$A$2:$R$9994,17)</f>
        <v>3</v>
      </c>
      <c r="R128" s="22">
        <f>VLOOKUP($A128,'MG Universe'!$A$2:$R$9994,18)</f>
        <v>28.66</v>
      </c>
    </row>
    <row r="129" spans="1:18" x14ac:dyDescent="0.55000000000000004">
      <c r="A129" s="18" t="s">
        <v>747</v>
      </c>
      <c r="B129" s="19" t="str">
        <f>VLOOKUP($A129,'MG Universe'!$A$2:$R$9994,2)</f>
        <v>Danaher Corporation</v>
      </c>
      <c r="C129" s="19" t="str">
        <f>VLOOKUP($A129,'MG Universe'!$A$2:$R$9994,3)</f>
        <v>D</v>
      </c>
      <c r="D129" s="19" t="str">
        <f>VLOOKUP($A129,'MG Universe'!$A$2:$R$9994,4)</f>
        <v>S</v>
      </c>
      <c r="E129" s="19" t="str">
        <f>VLOOKUP($A129,'MG Universe'!$A$2:$R$9994,5)</f>
        <v>F</v>
      </c>
      <c r="F129" s="20" t="str">
        <f>VLOOKUP($A129,'MG Universe'!$A$2:$R$9994,6)</f>
        <v>SF</v>
      </c>
      <c r="G129" s="103">
        <f>VLOOKUP($A129,'MG Universe'!$A$2:$R$9994,7)</f>
        <v>42320</v>
      </c>
      <c r="H129" s="22">
        <f>VLOOKUP($A129,'MG Universe'!$A$2:$R$9994,8)</f>
        <v>109.81</v>
      </c>
      <c r="I129" s="22">
        <f>VLOOKUP($A129,'MG Universe'!$A$2:$R$9994,9)</f>
        <v>90.49</v>
      </c>
      <c r="J129" s="23">
        <f>VLOOKUP($A129,'MG Universe'!$A$2:$R$9994,10)</f>
        <v>0.82410000000000005</v>
      </c>
      <c r="K129" s="105">
        <f>VLOOKUP($A129,'MG Universe'!$A$2:$R$9994,11)</f>
        <v>22.4</v>
      </c>
      <c r="L129" s="23">
        <f>VLOOKUP($A129,'MG Universe'!$A$2:$R$9994,12)</f>
        <v>7.1000000000000004E-3</v>
      </c>
      <c r="M129" s="106">
        <f>VLOOKUP($A129,'MG Universe'!$A$2:$R$9994,13)</f>
        <v>1.2</v>
      </c>
      <c r="N129" s="107">
        <f>VLOOKUP($A129,'MG Universe'!$A$2:$R$9994,14)</f>
        <v>1.04</v>
      </c>
      <c r="O129" s="22">
        <f>VLOOKUP($A129,'MG Universe'!$A$2:$R$9994,15)</f>
        <v>-25.28</v>
      </c>
      <c r="P129" s="23">
        <f>VLOOKUP($A129,'MG Universe'!$A$2:$R$9994,16)</f>
        <v>6.9500000000000006E-2</v>
      </c>
      <c r="Q129" s="109">
        <f>VLOOKUP($A129,'MG Universe'!$A$2:$R$9994,17)</f>
        <v>2</v>
      </c>
      <c r="R129" s="22">
        <f>VLOOKUP($A129,'MG Universe'!$A$2:$R$9994,18)</f>
        <v>61.42</v>
      </c>
    </row>
    <row r="130" spans="1:18" x14ac:dyDescent="0.55000000000000004">
      <c r="A130" s="18" t="s">
        <v>518</v>
      </c>
      <c r="B130" s="19" t="str">
        <f>VLOOKUP($A130,'MG Universe'!$A$2:$R$9994,2)</f>
        <v>Walt Disney Co</v>
      </c>
      <c r="C130" s="19" t="str">
        <f>VLOOKUP($A130,'MG Universe'!$A$2:$R$9994,3)</f>
        <v>C-</v>
      </c>
      <c r="D130" s="19" t="str">
        <f>VLOOKUP($A130,'MG Universe'!$A$2:$R$9994,4)</f>
        <v>S</v>
      </c>
      <c r="E130" s="19" t="str">
        <f>VLOOKUP($A130,'MG Universe'!$A$2:$R$9994,5)</f>
        <v>U</v>
      </c>
      <c r="F130" s="20" t="str">
        <f>VLOOKUP($A130,'MG Universe'!$A$2:$R$9994,6)</f>
        <v>SU</v>
      </c>
      <c r="G130" s="103">
        <f>VLOOKUP($A130,'MG Universe'!$A$2:$R$9994,7)</f>
        <v>42348</v>
      </c>
      <c r="H130" s="22">
        <f>VLOOKUP($A130,'MG Universe'!$A$2:$R$9994,8)</f>
        <v>157.29</v>
      </c>
      <c r="I130" s="22">
        <f>VLOOKUP($A130,'MG Universe'!$A$2:$R$9994,9)</f>
        <v>97.05</v>
      </c>
      <c r="J130" s="23">
        <f>VLOOKUP($A130,'MG Universe'!$A$2:$R$9994,10)</f>
        <v>0.61699999999999999</v>
      </c>
      <c r="K130" s="105">
        <f>VLOOKUP($A130,'MG Universe'!$A$2:$R$9994,11)</f>
        <v>20.96</v>
      </c>
      <c r="L130" s="23">
        <f>VLOOKUP($A130,'MG Universe'!$A$2:$R$9994,12)</f>
        <v>1.46E-2</v>
      </c>
      <c r="M130" s="106">
        <f>VLOOKUP($A130,'MG Universe'!$A$2:$R$9994,13)</f>
        <v>1.4</v>
      </c>
      <c r="N130" s="107">
        <f>VLOOKUP($A130,'MG Universe'!$A$2:$R$9994,14)</f>
        <v>1.03</v>
      </c>
      <c r="O130" s="22">
        <f>VLOOKUP($A130,'MG Universe'!$A$2:$R$9994,15)</f>
        <v>-15.88</v>
      </c>
      <c r="P130" s="23">
        <f>VLOOKUP($A130,'MG Universe'!$A$2:$R$9994,16)</f>
        <v>6.2300000000000001E-2</v>
      </c>
      <c r="Q130" s="109">
        <f>VLOOKUP($A130,'MG Universe'!$A$2:$R$9994,17)</f>
        <v>6</v>
      </c>
      <c r="R130" s="22">
        <f>VLOOKUP($A130,'MG Universe'!$A$2:$R$9994,18)</f>
        <v>58.42</v>
      </c>
    </row>
    <row r="131" spans="1:18" x14ac:dyDescent="0.55000000000000004">
      <c r="A131" s="18" t="s">
        <v>520</v>
      </c>
      <c r="B131" s="19" t="str">
        <f>VLOOKUP($A131,'MG Universe'!$A$2:$R$9994,2)</f>
        <v>Discovery Communications Inc.</v>
      </c>
      <c r="C131" s="19" t="str">
        <f>VLOOKUP($A131,'MG Universe'!$A$2:$R$9994,3)</f>
        <v>C-</v>
      </c>
      <c r="D131" s="19" t="str">
        <f>VLOOKUP($A131,'MG Universe'!$A$2:$R$9994,4)</f>
        <v>S</v>
      </c>
      <c r="E131" s="19" t="str">
        <f>VLOOKUP($A131,'MG Universe'!$A$2:$R$9994,5)</f>
        <v>U</v>
      </c>
      <c r="F131" s="20" t="str">
        <f>VLOOKUP($A131,'MG Universe'!$A$2:$R$9994,6)</f>
        <v>SU</v>
      </c>
      <c r="G131" s="103">
        <f>VLOOKUP($A131,'MG Universe'!$A$2:$R$9994,7)</f>
        <v>42157</v>
      </c>
      <c r="H131" s="22">
        <f>VLOOKUP($A131,'MG Universe'!$A$2:$R$9994,8)</f>
        <v>50.66</v>
      </c>
      <c r="I131" s="22">
        <f>VLOOKUP($A131,'MG Universe'!$A$2:$R$9994,9)</f>
        <v>26.78</v>
      </c>
      <c r="J131" s="23">
        <f>VLOOKUP($A131,'MG Universe'!$A$2:$R$9994,10)</f>
        <v>0.52859999999999996</v>
      </c>
      <c r="K131" s="105">
        <f>VLOOKUP($A131,'MG Universe'!$A$2:$R$9994,11)</f>
        <v>17.28</v>
      </c>
      <c r="L131" s="23" t="str">
        <f>VLOOKUP($A131,'MG Universe'!$A$2:$R$9994,12)</f>
        <v>N/A</v>
      </c>
      <c r="M131" s="106">
        <f>VLOOKUP($A131,'MG Universe'!$A$2:$R$9994,13)</f>
        <v>1.5</v>
      </c>
      <c r="N131" s="107">
        <f>VLOOKUP($A131,'MG Universe'!$A$2:$R$9994,14)</f>
        <v>1.4</v>
      </c>
      <c r="O131" s="22">
        <f>VLOOKUP($A131,'MG Universe'!$A$2:$R$9994,15)</f>
        <v>-12.03</v>
      </c>
      <c r="P131" s="23">
        <f>VLOOKUP($A131,'MG Universe'!$A$2:$R$9994,16)</f>
        <v>4.3900000000000002E-2</v>
      </c>
      <c r="Q131" s="109">
        <f>VLOOKUP($A131,'MG Universe'!$A$2:$R$9994,17)</f>
        <v>0</v>
      </c>
      <c r="R131" s="22">
        <f>VLOOKUP($A131,'MG Universe'!$A$2:$R$9994,18)</f>
        <v>0</v>
      </c>
    </row>
    <row r="132" spans="1:18" x14ac:dyDescent="0.55000000000000004">
      <c r="A132" s="18" t="s">
        <v>522</v>
      </c>
      <c r="B132" s="19" t="str">
        <f>VLOOKUP($A132,'MG Universe'!$A$2:$R$9994,2)</f>
        <v>Discovery Communications Inc.</v>
      </c>
      <c r="C132" s="19" t="str">
        <f>VLOOKUP($A132,'MG Universe'!$A$2:$R$9994,3)</f>
        <v>C-</v>
      </c>
      <c r="D132" s="19" t="str">
        <f>VLOOKUP($A132,'MG Universe'!$A$2:$R$9994,4)</f>
        <v>S</v>
      </c>
      <c r="E132" s="19" t="str">
        <f>VLOOKUP($A132,'MG Universe'!$A$2:$R$9994,5)</f>
        <v>U</v>
      </c>
      <c r="F132" s="20" t="str">
        <f>VLOOKUP($A132,'MG Universe'!$A$2:$R$9994,6)</f>
        <v>SU</v>
      </c>
      <c r="G132" s="103">
        <f>VLOOKUP($A132,'MG Universe'!$A$2:$R$9994,7)</f>
        <v>42157</v>
      </c>
      <c r="H132" s="22">
        <f>VLOOKUP($A132,'MG Universe'!$A$2:$R$9994,8)</f>
        <v>50.66</v>
      </c>
      <c r="I132" s="22">
        <f>VLOOKUP($A132,'MG Universe'!$A$2:$R$9994,9)</f>
        <v>26</v>
      </c>
      <c r="J132" s="23">
        <f>VLOOKUP($A132,'MG Universe'!$A$2:$R$9994,10)</f>
        <v>0.51319999999999999</v>
      </c>
      <c r="K132" s="105">
        <f>VLOOKUP($A132,'MG Universe'!$A$2:$R$9994,11)</f>
        <v>16.77</v>
      </c>
      <c r="L132" s="23" t="str">
        <f>VLOOKUP($A132,'MG Universe'!$A$2:$R$9994,12)</f>
        <v>N/A</v>
      </c>
      <c r="M132" s="106">
        <f>VLOOKUP($A132,'MG Universe'!$A$2:$R$9994,13)</f>
        <v>1.3</v>
      </c>
      <c r="N132" s="107">
        <f>VLOOKUP($A132,'MG Universe'!$A$2:$R$9994,14)</f>
        <v>1.4</v>
      </c>
      <c r="O132" s="22">
        <f>VLOOKUP($A132,'MG Universe'!$A$2:$R$9994,15)</f>
        <v>-12.03</v>
      </c>
      <c r="P132" s="23">
        <f>VLOOKUP($A132,'MG Universe'!$A$2:$R$9994,16)</f>
        <v>4.1399999999999999E-2</v>
      </c>
      <c r="Q132" s="109">
        <f>VLOOKUP($A132,'MG Universe'!$A$2:$R$9994,17)</f>
        <v>0</v>
      </c>
      <c r="R132" s="22">
        <f>VLOOKUP($A132,'MG Universe'!$A$2:$R$9994,18)</f>
        <v>0</v>
      </c>
    </row>
    <row r="133" spans="1:18" x14ac:dyDescent="0.55000000000000004">
      <c r="A133" s="18" t="s">
        <v>523</v>
      </c>
      <c r="B133" s="19" t="str">
        <f>VLOOKUP($A133,'MG Universe'!$A$2:$R$9994,2)</f>
        <v>Delphi Automotive PLC</v>
      </c>
      <c r="C133" s="19" t="str">
        <f>VLOOKUP($A133,'MG Universe'!$A$2:$R$9994,3)</f>
        <v>C-</v>
      </c>
      <c r="D133" s="19" t="str">
        <f>VLOOKUP($A133,'MG Universe'!$A$2:$R$9994,4)</f>
        <v>S</v>
      </c>
      <c r="E133" s="19" t="str">
        <f>VLOOKUP($A133,'MG Universe'!$A$2:$R$9994,5)</f>
        <v>U</v>
      </c>
      <c r="F133" s="20" t="str">
        <f>VLOOKUP($A133,'MG Universe'!$A$2:$R$9994,6)</f>
        <v>SU</v>
      </c>
      <c r="G133" s="103">
        <f>VLOOKUP($A133,'MG Universe'!$A$2:$R$9994,7)</f>
        <v>42170</v>
      </c>
      <c r="H133" s="22">
        <f>VLOOKUP($A133,'MG Universe'!$A$2:$R$9994,8)</f>
        <v>167.4</v>
      </c>
      <c r="I133" s="22">
        <f>VLOOKUP($A133,'MG Universe'!$A$2:$R$9994,9)</f>
        <v>68.94</v>
      </c>
      <c r="J133" s="23">
        <f>VLOOKUP($A133,'MG Universe'!$A$2:$R$9994,10)</f>
        <v>0.4118</v>
      </c>
      <c r="K133" s="105">
        <f>VLOOKUP($A133,'MG Universe'!$A$2:$R$9994,11)</f>
        <v>15.85</v>
      </c>
      <c r="L133" s="23">
        <f>VLOOKUP($A133,'MG Universe'!$A$2:$R$9994,12)</f>
        <v>1.6799999999999999E-2</v>
      </c>
      <c r="M133" s="106">
        <f>VLOOKUP($A133,'MG Universe'!$A$2:$R$9994,13)</f>
        <v>1.4</v>
      </c>
      <c r="N133" s="107">
        <f>VLOOKUP($A133,'MG Universe'!$A$2:$R$9994,14)</f>
        <v>1.49</v>
      </c>
      <c r="O133" s="22">
        <f>VLOOKUP($A133,'MG Universe'!$A$2:$R$9994,15)</f>
        <v>-8.99</v>
      </c>
      <c r="P133" s="23">
        <f>VLOOKUP($A133,'MG Universe'!$A$2:$R$9994,16)</f>
        <v>3.6700000000000003E-2</v>
      </c>
      <c r="Q133" s="109">
        <f>VLOOKUP($A133,'MG Universe'!$A$2:$R$9994,17)</f>
        <v>0</v>
      </c>
      <c r="R133" s="22">
        <f>VLOOKUP($A133,'MG Universe'!$A$2:$R$9994,18)</f>
        <v>0</v>
      </c>
    </row>
    <row r="134" spans="1:18" x14ac:dyDescent="0.55000000000000004">
      <c r="A134" s="18" t="s">
        <v>749</v>
      </c>
      <c r="B134" s="19" t="str">
        <f>VLOOKUP($A134,'MG Universe'!$A$2:$R$9994,2)</f>
        <v>Dollar Tree, Inc.</v>
      </c>
      <c r="C134" s="19" t="str">
        <f>VLOOKUP($A134,'MG Universe'!$A$2:$R$9994,3)</f>
        <v>D</v>
      </c>
      <c r="D134" s="19" t="str">
        <f>VLOOKUP($A134,'MG Universe'!$A$2:$R$9994,4)</f>
        <v>S</v>
      </c>
      <c r="E134" s="19" t="str">
        <f>VLOOKUP($A134,'MG Universe'!$A$2:$R$9994,5)</f>
        <v>O</v>
      </c>
      <c r="F134" s="20" t="str">
        <f>VLOOKUP($A134,'MG Universe'!$A$2:$R$9994,6)</f>
        <v>SO</v>
      </c>
      <c r="G134" s="103">
        <f>VLOOKUP($A134,'MG Universe'!$A$2:$R$9994,7)</f>
        <v>42292</v>
      </c>
      <c r="H134" s="22">
        <f>VLOOKUP($A134,'MG Universe'!$A$2:$R$9994,8)</f>
        <v>48.76</v>
      </c>
      <c r="I134" s="22">
        <f>VLOOKUP($A134,'MG Universe'!$A$2:$R$9994,9)</f>
        <v>78.77</v>
      </c>
      <c r="J134" s="23">
        <f>VLOOKUP($A134,'MG Universe'!$A$2:$R$9994,10)</f>
        <v>1.6154999999999999</v>
      </c>
      <c r="K134" s="105">
        <f>VLOOKUP($A134,'MG Universe'!$A$2:$R$9994,11)</f>
        <v>36.299999999999997</v>
      </c>
      <c r="L134" s="23" t="str">
        <f>VLOOKUP($A134,'MG Universe'!$A$2:$R$9994,12)</f>
        <v>N/A</v>
      </c>
      <c r="M134" s="106">
        <f>VLOOKUP($A134,'MG Universe'!$A$2:$R$9994,13)</f>
        <v>0.3</v>
      </c>
      <c r="N134" s="107">
        <f>VLOOKUP($A134,'MG Universe'!$A$2:$R$9994,14)</f>
        <v>2.1800000000000002</v>
      </c>
      <c r="O134" s="22">
        <f>VLOOKUP($A134,'MG Universe'!$A$2:$R$9994,15)</f>
        <v>-37.299999999999997</v>
      </c>
      <c r="P134" s="23">
        <f>VLOOKUP($A134,'MG Universe'!$A$2:$R$9994,16)</f>
        <v>0.13900000000000001</v>
      </c>
      <c r="Q134" s="109">
        <f>VLOOKUP($A134,'MG Universe'!$A$2:$R$9994,17)</f>
        <v>0</v>
      </c>
      <c r="R134" s="22">
        <f>VLOOKUP($A134,'MG Universe'!$A$2:$R$9994,18)</f>
        <v>20.47</v>
      </c>
    </row>
    <row r="135" spans="1:18" x14ac:dyDescent="0.55000000000000004">
      <c r="A135" s="18" t="s">
        <v>872</v>
      </c>
      <c r="B135" s="19" t="str">
        <f>VLOOKUP($A135,'MG Universe'!$A$2:$R$9994,2)</f>
        <v>Dun &amp; Bradstreet Corp</v>
      </c>
      <c r="C135" s="19" t="str">
        <f>VLOOKUP($A135,'MG Universe'!$A$2:$R$9994,3)</f>
        <v>D+</v>
      </c>
      <c r="D135" s="19" t="str">
        <f>VLOOKUP($A135,'MG Universe'!$A$2:$R$9994,4)</f>
        <v>S</v>
      </c>
      <c r="E135" s="19" t="str">
        <f>VLOOKUP($A135,'MG Universe'!$A$2:$R$9994,5)</f>
        <v>F</v>
      </c>
      <c r="F135" s="20" t="str">
        <f>VLOOKUP($A135,'MG Universe'!$A$2:$R$9994,6)</f>
        <v>SF</v>
      </c>
      <c r="G135" s="103">
        <f>VLOOKUP($A135,'MG Universe'!$A$2:$R$9994,7)</f>
        <v>42251</v>
      </c>
      <c r="H135" s="22">
        <f>VLOOKUP($A135,'MG Universe'!$A$2:$R$9994,8)</f>
        <v>92.11</v>
      </c>
      <c r="I135" s="22">
        <f>VLOOKUP($A135,'MG Universe'!$A$2:$R$9994,9)</f>
        <v>99.66</v>
      </c>
      <c r="J135" s="23">
        <f>VLOOKUP($A135,'MG Universe'!$A$2:$R$9994,10)</f>
        <v>1.0820000000000001</v>
      </c>
      <c r="K135" s="105">
        <f>VLOOKUP($A135,'MG Universe'!$A$2:$R$9994,11)</f>
        <v>15.55</v>
      </c>
      <c r="L135" s="23">
        <f>VLOOKUP($A135,'MG Universe'!$A$2:$R$9994,12)</f>
        <v>1.9400000000000001E-2</v>
      </c>
      <c r="M135" s="106">
        <f>VLOOKUP($A135,'MG Universe'!$A$2:$R$9994,13)</f>
        <v>1.3</v>
      </c>
      <c r="N135" s="107">
        <f>VLOOKUP($A135,'MG Universe'!$A$2:$R$9994,14)</f>
        <v>0.65</v>
      </c>
      <c r="O135" s="22">
        <f>VLOOKUP($A135,'MG Universe'!$A$2:$R$9994,15)</f>
        <v>-70.099999999999994</v>
      </c>
      <c r="P135" s="23">
        <f>VLOOKUP($A135,'MG Universe'!$A$2:$R$9994,16)</f>
        <v>3.5200000000000002E-2</v>
      </c>
      <c r="Q135" s="109">
        <f>VLOOKUP($A135,'MG Universe'!$A$2:$R$9994,17)</f>
        <v>9</v>
      </c>
      <c r="R135" s="22" t="str">
        <f>VLOOKUP($A135,'MG Universe'!$A$2:$R$9994,18)</f>
        <v>N/A</v>
      </c>
    </row>
    <row r="136" spans="1:18" x14ac:dyDescent="0.55000000000000004">
      <c r="A136" s="18" t="s">
        <v>145</v>
      </c>
      <c r="B136" s="19" t="str">
        <f>VLOOKUP($A136,'MG Universe'!$A$2:$R$9994,2)</f>
        <v>Diamond Offshore Drilling Inc</v>
      </c>
      <c r="C136" s="19" t="str">
        <f>VLOOKUP($A136,'MG Universe'!$A$2:$R$9994,3)</f>
        <v>D</v>
      </c>
      <c r="D136" s="19" t="str">
        <f>VLOOKUP($A136,'MG Universe'!$A$2:$R$9994,4)</f>
        <v>S</v>
      </c>
      <c r="E136" s="19" t="str">
        <f>VLOOKUP($A136,'MG Universe'!$A$2:$R$9994,5)</f>
        <v>O</v>
      </c>
      <c r="F136" s="20" t="str">
        <f>VLOOKUP($A136,'MG Universe'!$A$2:$R$9994,6)</f>
        <v>SO</v>
      </c>
      <c r="G136" s="103">
        <f>VLOOKUP($A136,'MG Universe'!$A$2:$R$9994,7)</f>
        <v>42062</v>
      </c>
      <c r="H136" s="22">
        <f>VLOOKUP($A136,'MG Universe'!$A$2:$R$9994,8)</f>
        <v>0</v>
      </c>
      <c r="I136" s="22">
        <f>VLOOKUP($A136,'MG Universe'!$A$2:$R$9994,9)</f>
        <v>21.17</v>
      </c>
      <c r="J136" s="23" t="str">
        <f>VLOOKUP($A136,'MG Universe'!$A$2:$R$9994,10)</f>
        <v>N/A</v>
      </c>
      <c r="K136" s="105">
        <f>VLOOKUP($A136,'MG Universe'!$A$2:$R$9994,11)</f>
        <v>4.8</v>
      </c>
      <c r="L136" s="23" t="str">
        <f>VLOOKUP($A136,'MG Universe'!$A$2:$R$9994,12)</f>
        <v>N/A</v>
      </c>
      <c r="M136" s="106">
        <f>VLOOKUP($A136,'MG Universe'!$A$2:$R$9994,13)</f>
        <v>1.4</v>
      </c>
      <c r="N136" s="107">
        <f>VLOOKUP($A136,'MG Universe'!$A$2:$R$9994,14)</f>
        <v>1.05</v>
      </c>
      <c r="O136" s="22">
        <f>VLOOKUP($A136,'MG Universe'!$A$2:$R$9994,15)</f>
        <v>-19.45</v>
      </c>
      <c r="P136" s="23">
        <f>VLOOKUP($A136,'MG Universe'!$A$2:$R$9994,16)</f>
        <v>-1.8499999999999999E-2</v>
      </c>
      <c r="Q136" s="109">
        <f>VLOOKUP($A136,'MG Universe'!$A$2:$R$9994,17)</f>
        <v>0</v>
      </c>
      <c r="R136" s="22">
        <f>VLOOKUP($A136,'MG Universe'!$A$2:$R$9994,18)</f>
        <v>0</v>
      </c>
    </row>
    <row r="137" spans="1:18" x14ac:dyDescent="0.55000000000000004">
      <c r="A137" s="18" t="s">
        <v>49</v>
      </c>
      <c r="B137" s="19" t="str">
        <f>VLOOKUP($A137,'MG Universe'!$A$2:$R$9994,2)</f>
        <v>Dover Corp</v>
      </c>
      <c r="C137" s="19" t="str">
        <f>VLOOKUP($A137,'MG Universe'!$A$2:$R$9994,3)</f>
        <v>A</v>
      </c>
      <c r="D137" s="19" t="str">
        <f>VLOOKUP($A137,'MG Universe'!$A$2:$R$9994,4)</f>
        <v>D</v>
      </c>
      <c r="E137" s="19" t="str">
        <f>VLOOKUP($A137,'MG Universe'!$A$2:$R$9994,5)</f>
        <v>U</v>
      </c>
      <c r="F137" s="20" t="str">
        <f>VLOOKUP($A137,'MG Universe'!$A$2:$R$9994,6)</f>
        <v>DU</v>
      </c>
      <c r="G137" s="103">
        <f>VLOOKUP($A137,'MG Universe'!$A$2:$R$9994,7)</f>
        <v>42349</v>
      </c>
      <c r="H137" s="22">
        <f>VLOOKUP($A137,'MG Universe'!$A$2:$R$9994,8)</f>
        <v>106.53</v>
      </c>
      <c r="I137" s="22">
        <f>VLOOKUP($A137,'MG Universe'!$A$2:$R$9994,9)</f>
        <v>62.56</v>
      </c>
      <c r="J137" s="23">
        <f>VLOOKUP($A137,'MG Universe'!$A$2:$R$9994,10)</f>
        <v>0.58730000000000004</v>
      </c>
      <c r="K137" s="105">
        <f>VLOOKUP($A137,'MG Universe'!$A$2:$R$9994,11)</f>
        <v>12.34</v>
      </c>
      <c r="L137" s="23">
        <f>VLOOKUP($A137,'MG Universe'!$A$2:$R$9994,12)</f>
        <v>2.69E-2</v>
      </c>
      <c r="M137" s="106">
        <f>VLOOKUP($A137,'MG Universe'!$A$2:$R$9994,13)</f>
        <v>1.4</v>
      </c>
      <c r="N137" s="107">
        <f>VLOOKUP($A137,'MG Universe'!$A$2:$R$9994,14)</f>
        <v>1.69</v>
      </c>
      <c r="O137" s="22">
        <f>VLOOKUP($A137,'MG Universe'!$A$2:$R$9994,15)</f>
        <v>-13.4</v>
      </c>
      <c r="P137" s="23">
        <f>VLOOKUP($A137,'MG Universe'!$A$2:$R$9994,16)</f>
        <v>1.9199999999999998E-2</v>
      </c>
      <c r="Q137" s="109">
        <f>VLOOKUP($A137,'MG Universe'!$A$2:$R$9994,17)</f>
        <v>20</v>
      </c>
      <c r="R137" s="22">
        <f>VLOOKUP($A137,'MG Universe'!$A$2:$R$9994,18)</f>
        <v>52.73</v>
      </c>
    </row>
    <row r="138" spans="1:18" x14ac:dyDescent="0.55000000000000004">
      <c r="A138" s="18" t="s">
        <v>310</v>
      </c>
      <c r="B138" s="19" t="str">
        <f>VLOOKUP($A138,'MG Universe'!$A$2:$R$9994,2)</f>
        <v>Dow Chemical Co</v>
      </c>
      <c r="C138" s="19" t="str">
        <f>VLOOKUP($A138,'MG Universe'!$A$2:$R$9994,3)</f>
        <v>B+</v>
      </c>
      <c r="D138" s="19" t="str">
        <f>VLOOKUP($A138,'MG Universe'!$A$2:$R$9994,4)</f>
        <v>D</v>
      </c>
      <c r="E138" s="19" t="str">
        <f>VLOOKUP($A138,'MG Universe'!$A$2:$R$9994,5)</f>
        <v>U</v>
      </c>
      <c r="F138" s="20" t="str">
        <f>VLOOKUP($A138,'MG Universe'!$A$2:$R$9994,6)</f>
        <v>DU</v>
      </c>
      <c r="G138" s="103">
        <f>VLOOKUP($A138,'MG Universe'!$A$2:$R$9994,7)</f>
        <v>42397</v>
      </c>
      <c r="H138" s="22">
        <f>VLOOKUP($A138,'MG Universe'!$A$2:$R$9994,8)</f>
        <v>115.94</v>
      </c>
      <c r="I138" s="22">
        <f>VLOOKUP($A138,'MG Universe'!$A$2:$R$9994,9)</f>
        <v>49.62</v>
      </c>
      <c r="J138" s="23">
        <f>VLOOKUP($A138,'MG Universe'!$A$2:$R$9994,10)</f>
        <v>0.42799999999999999</v>
      </c>
      <c r="K138" s="105">
        <f>VLOOKUP($A138,'MG Universe'!$A$2:$R$9994,11)</f>
        <v>16.489999999999998</v>
      </c>
      <c r="L138" s="23">
        <f>VLOOKUP($A138,'MG Universe'!$A$2:$R$9994,12)</f>
        <v>3.7100000000000001E-2</v>
      </c>
      <c r="M138" s="106">
        <f>VLOOKUP($A138,'MG Universe'!$A$2:$R$9994,13)</f>
        <v>1.7</v>
      </c>
      <c r="N138" s="107">
        <f>VLOOKUP($A138,'MG Universe'!$A$2:$R$9994,14)</f>
        <v>1.88</v>
      </c>
      <c r="O138" s="22">
        <f>VLOOKUP($A138,'MG Universe'!$A$2:$R$9994,15)</f>
        <v>-16.55</v>
      </c>
      <c r="P138" s="23">
        <f>VLOOKUP($A138,'MG Universe'!$A$2:$R$9994,16)</f>
        <v>3.9899999999999998E-2</v>
      </c>
      <c r="Q138" s="109">
        <f>VLOOKUP($A138,'MG Universe'!$A$2:$R$9994,17)</f>
        <v>5</v>
      </c>
      <c r="R138" s="22">
        <f>VLOOKUP($A138,'MG Universe'!$A$2:$R$9994,18)</f>
        <v>38.94</v>
      </c>
    </row>
    <row r="139" spans="1:18" x14ac:dyDescent="0.55000000000000004">
      <c r="A139" s="18" t="s">
        <v>525</v>
      </c>
      <c r="B139" s="19" t="str">
        <f>VLOOKUP($A139,'MG Universe'!$A$2:$R$9994,2)</f>
        <v>Dr Pepper Snapple Group Inc.</v>
      </c>
      <c r="C139" s="19" t="str">
        <f>VLOOKUP($A139,'MG Universe'!$A$2:$R$9994,3)</f>
        <v>C-</v>
      </c>
      <c r="D139" s="19" t="str">
        <f>VLOOKUP($A139,'MG Universe'!$A$2:$R$9994,4)</f>
        <v>S</v>
      </c>
      <c r="E139" s="19" t="str">
        <f>VLOOKUP($A139,'MG Universe'!$A$2:$R$9994,5)</f>
        <v>F</v>
      </c>
      <c r="F139" s="20" t="str">
        <f>VLOOKUP($A139,'MG Universe'!$A$2:$R$9994,6)</f>
        <v>SF</v>
      </c>
      <c r="G139" s="103">
        <f>VLOOKUP($A139,'MG Universe'!$A$2:$R$9994,7)</f>
        <v>42258</v>
      </c>
      <c r="H139" s="22">
        <f>VLOOKUP($A139,'MG Universe'!$A$2:$R$9994,8)</f>
        <v>112.4</v>
      </c>
      <c r="I139" s="22">
        <f>VLOOKUP($A139,'MG Universe'!$A$2:$R$9994,9)</f>
        <v>91.98</v>
      </c>
      <c r="J139" s="23">
        <f>VLOOKUP($A139,'MG Universe'!$A$2:$R$9994,10)</f>
        <v>0.81830000000000003</v>
      </c>
      <c r="K139" s="105">
        <f>VLOOKUP($A139,'MG Universe'!$A$2:$R$9994,11)</f>
        <v>26.97</v>
      </c>
      <c r="L139" s="23">
        <f>VLOOKUP($A139,'MG Universe'!$A$2:$R$9994,12)</f>
        <v>2.3E-2</v>
      </c>
      <c r="M139" s="106">
        <f>VLOOKUP($A139,'MG Universe'!$A$2:$R$9994,13)</f>
        <v>0.4</v>
      </c>
      <c r="N139" s="107">
        <f>VLOOKUP($A139,'MG Universe'!$A$2:$R$9994,14)</f>
        <v>0.81</v>
      </c>
      <c r="O139" s="22">
        <f>VLOOKUP($A139,'MG Universe'!$A$2:$R$9994,15)</f>
        <v>-24.67</v>
      </c>
      <c r="P139" s="23">
        <f>VLOOKUP($A139,'MG Universe'!$A$2:$R$9994,16)</f>
        <v>9.2399999999999996E-2</v>
      </c>
      <c r="Q139" s="109">
        <f>VLOOKUP($A139,'MG Universe'!$A$2:$R$9994,17)</f>
        <v>7</v>
      </c>
      <c r="R139" s="22">
        <f>VLOOKUP($A139,'MG Universe'!$A$2:$R$9994,18)</f>
        <v>31.96</v>
      </c>
    </row>
    <row r="140" spans="1:18" x14ac:dyDescent="0.55000000000000004">
      <c r="A140" s="18" t="s">
        <v>874</v>
      </c>
      <c r="B140" s="19" t="str">
        <f>VLOOKUP($A140,'MG Universe'!$A$2:$R$9994,2)</f>
        <v>Darden Restaurants, Inc.</v>
      </c>
      <c r="C140" s="19" t="str">
        <f>VLOOKUP($A140,'MG Universe'!$A$2:$R$9994,3)</f>
        <v>D+</v>
      </c>
      <c r="D140" s="19" t="str">
        <f>VLOOKUP($A140,'MG Universe'!$A$2:$R$9994,4)</f>
        <v>S</v>
      </c>
      <c r="E140" s="19" t="str">
        <f>VLOOKUP($A140,'MG Universe'!$A$2:$R$9994,5)</f>
        <v>O</v>
      </c>
      <c r="F140" s="20" t="str">
        <f>VLOOKUP($A140,'MG Universe'!$A$2:$R$9994,6)</f>
        <v>SO</v>
      </c>
      <c r="G140" s="103">
        <f>VLOOKUP($A140,'MG Universe'!$A$2:$R$9994,7)</f>
        <v>42272</v>
      </c>
      <c r="H140" s="22">
        <f>VLOOKUP($A140,'MG Universe'!$A$2:$R$9994,8)</f>
        <v>42.85</v>
      </c>
      <c r="I140" s="22">
        <f>VLOOKUP($A140,'MG Universe'!$A$2:$R$9994,9)</f>
        <v>64.680000000000007</v>
      </c>
      <c r="J140" s="23">
        <f>VLOOKUP($A140,'MG Universe'!$A$2:$R$9994,10)</f>
        <v>1.5095000000000001</v>
      </c>
      <c r="K140" s="105">
        <f>VLOOKUP($A140,'MG Universe'!$A$2:$R$9994,11)</f>
        <v>18.170000000000002</v>
      </c>
      <c r="L140" s="23">
        <f>VLOOKUP($A140,'MG Universe'!$A$2:$R$9994,12)</f>
        <v>3.09E-2</v>
      </c>
      <c r="M140" s="106">
        <f>VLOOKUP($A140,'MG Universe'!$A$2:$R$9994,13)</f>
        <v>0.5</v>
      </c>
      <c r="N140" s="107">
        <f>VLOOKUP($A140,'MG Universe'!$A$2:$R$9994,14)</f>
        <v>1.05</v>
      </c>
      <c r="O140" s="22">
        <f>VLOOKUP($A140,'MG Universe'!$A$2:$R$9994,15)</f>
        <v>-18.93</v>
      </c>
      <c r="P140" s="23">
        <f>VLOOKUP($A140,'MG Universe'!$A$2:$R$9994,16)</f>
        <v>4.8300000000000003E-2</v>
      </c>
      <c r="Q140" s="109">
        <f>VLOOKUP($A140,'MG Universe'!$A$2:$R$9994,17)</f>
        <v>0</v>
      </c>
      <c r="R140" s="22">
        <f>VLOOKUP($A140,'MG Universe'!$A$2:$R$9994,18)</f>
        <v>0</v>
      </c>
    </row>
    <row r="141" spans="1:18" x14ac:dyDescent="0.55000000000000004">
      <c r="A141" s="18" t="s">
        <v>876</v>
      </c>
      <c r="B141" s="19" t="str">
        <f>VLOOKUP($A141,'MG Universe'!$A$2:$R$9994,2)</f>
        <v>DTE Energy Co</v>
      </c>
      <c r="C141" s="19" t="str">
        <f>VLOOKUP($A141,'MG Universe'!$A$2:$R$9994,3)</f>
        <v>D+</v>
      </c>
      <c r="D141" s="19" t="str">
        <f>VLOOKUP($A141,'MG Universe'!$A$2:$R$9994,4)</f>
        <v>S</v>
      </c>
      <c r="E141" s="19" t="str">
        <f>VLOOKUP($A141,'MG Universe'!$A$2:$R$9994,5)</f>
        <v>O</v>
      </c>
      <c r="F141" s="20" t="str">
        <f>VLOOKUP($A141,'MG Universe'!$A$2:$R$9994,6)</f>
        <v>SO</v>
      </c>
      <c r="G141" s="103">
        <f>VLOOKUP($A141,'MG Universe'!$A$2:$R$9994,7)</f>
        <v>42028</v>
      </c>
      <c r="H141" s="22">
        <f>VLOOKUP($A141,'MG Universe'!$A$2:$R$9994,8)</f>
        <v>41.96</v>
      </c>
      <c r="I141" s="22">
        <f>VLOOKUP($A141,'MG Universe'!$A$2:$R$9994,9)</f>
        <v>84.06</v>
      </c>
      <c r="J141" s="23">
        <f>VLOOKUP($A141,'MG Universe'!$A$2:$R$9994,10)</f>
        <v>2.0032999999999999</v>
      </c>
      <c r="K141" s="105">
        <f>VLOOKUP($A141,'MG Universe'!$A$2:$R$9994,11)</f>
        <v>21.23</v>
      </c>
      <c r="L141" s="23">
        <f>VLOOKUP($A141,'MG Universe'!$A$2:$R$9994,12)</f>
        <v>3.4700000000000002E-2</v>
      </c>
      <c r="M141" s="106">
        <f>VLOOKUP($A141,'MG Universe'!$A$2:$R$9994,13)</f>
        <v>0.2</v>
      </c>
      <c r="N141" s="107">
        <f>VLOOKUP($A141,'MG Universe'!$A$2:$R$9994,14)</f>
        <v>0.98</v>
      </c>
      <c r="O141" s="22">
        <f>VLOOKUP($A141,'MG Universe'!$A$2:$R$9994,15)</f>
        <v>-87.3</v>
      </c>
      <c r="P141" s="23">
        <f>VLOOKUP($A141,'MG Universe'!$A$2:$R$9994,16)</f>
        <v>6.3600000000000004E-2</v>
      </c>
      <c r="Q141" s="109">
        <f>VLOOKUP($A141,'MG Universe'!$A$2:$R$9994,17)</f>
        <v>0</v>
      </c>
      <c r="R141" s="22">
        <f>VLOOKUP($A141,'MG Universe'!$A$2:$R$9994,18)</f>
        <v>0</v>
      </c>
    </row>
    <row r="142" spans="1:18" x14ac:dyDescent="0.55000000000000004">
      <c r="A142" s="18" t="s">
        <v>1155</v>
      </c>
      <c r="B142" s="19" t="str">
        <f>VLOOKUP($A142,'MG Universe'!$A$2:$R$9994,2)</f>
        <v>DTE Energy Co</v>
      </c>
      <c r="C142" s="19" t="str">
        <f>VLOOKUP($A142,'MG Universe'!$A$2:$R$9994,3)</f>
        <v>D+</v>
      </c>
      <c r="D142" s="19" t="str">
        <f>VLOOKUP($A142,'MG Universe'!$A$2:$R$9994,4)</f>
        <v>S</v>
      </c>
      <c r="E142" s="19" t="str">
        <f>VLOOKUP($A142,'MG Universe'!$A$2:$R$9994,5)</f>
        <v>O</v>
      </c>
      <c r="F142" s="20" t="str">
        <f>VLOOKUP($A142,'MG Universe'!$A$2:$R$9994,6)</f>
        <v>SO</v>
      </c>
      <c r="G142" s="103">
        <f>VLOOKUP($A142,'MG Universe'!$A$2:$R$9994,7)</f>
        <v>42028</v>
      </c>
      <c r="H142" s="22">
        <f>VLOOKUP($A142,'MG Universe'!$A$2:$R$9994,8)</f>
        <v>41.96</v>
      </c>
      <c r="I142" s="22">
        <f>VLOOKUP($A142,'MG Universe'!$A$2:$R$9994,9)</f>
        <v>84.06</v>
      </c>
      <c r="J142" s="23">
        <f>VLOOKUP($A142,'MG Universe'!$A$2:$R$9994,10)</f>
        <v>2.0032999999999999</v>
      </c>
      <c r="K142" s="105">
        <f>VLOOKUP($A142,'MG Universe'!$A$2:$R$9994,11)</f>
        <v>21.23</v>
      </c>
      <c r="L142" s="23">
        <f>VLOOKUP($A142,'MG Universe'!$A$2:$R$9994,12)</f>
        <v>3.4700000000000002E-2</v>
      </c>
      <c r="M142" s="106">
        <f>VLOOKUP($A142,'MG Universe'!$A$2:$R$9994,13)</f>
        <v>0.2</v>
      </c>
      <c r="N142" s="107">
        <f>VLOOKUP($A142,'MG Universe'!$A$2:$R$9994,14)</f>
        <v>0.98</v>
      </c>
      <c r="O142" s="22">
        <f>VLOOKUP($A142,'MG Universe'!$A$2:$R$9994,15)</f>
        <v>-87.3</v>
      </c>
      <c r="P142" s="23">
        <f>VLOOKUP($A142,'MG Universe'!$A$2:$R$9994,16)</f>
        <v>6.3600000000000004E-2</v>
      </c>
      <c r="Q142" s="109">
        <f>VLOOKUP($A142,'MG Universe'!$A$2:$R$9994,17)</f>
        <v>0</v>
      </c>
      <c r="R142" s="22">
        <f>VLOOKUP($A142,'MG Universe'!$A$2:$R$9994,18)</f>
        <v>0</v>
      </c>
    </row>
    <row r="143" spans="1:18" x14ac:dyDescent="0.55000000000000004">
      <c r="A143" s="18" t="s">
        <v>378</v>
      </c>
      <c r="B143" s="19" t="str">
        <f>VLOOKUP($A143,'MG Universe'!$A$2:$R$9994,2)</f>
        <v>Duke Energy Corp</v>
      </c>
      <c r="C143" s="19" t="str">
        <f>VLOOKUP($A143,'MG Universe'!$A$2:$R$9994,3)</f>
        <v>C</v>
      </c>
      <c r="D143" s="19" t="str">
        <f>VLOOKUP($A143,'MG Universe'!$A$2:$R$9994,4)</f>
        <v>S</v>
      </c>
      <c r="E143" s="19" t="str">
        <f>VLOOKUP($A143,'MG Universe'!$A$2:$R$9994,5)</f>
        <v>O</v>
      </c>
      <c r="F143" s="20" t="str">
        <f>VLOOKUP($A143,'MG Universe'!$A$2:$R$9994,6)</f>
        <v>SO</v>
      </c>
      <c r="G143" s="103">
        <f>VLOOKUP($A143,'MG Universe'!$A$2:$R$9994,7)</f>
        <v>42313</v>
      </c>
      <c r="H143" s="22">
        <f>VLOOKUP($A143,'MG Universe'!$A$2:$R$9994,8)</f>
        <v>39.36</v>
      </c>
      <c r="I143" s="22">
        <f>VLOOKUP($A143,'MG Universe'!$A$2:$R$9994,9)</f>
        <v>73.64</v>
      </c>
      <c r="J143" s="23">
        <f>VLOOKUP($A143,'MG Universe'!$A$2:$R$9994,10)</f>
        <v>1.8709</v>
      </c>
      <c r="K143" s="105">
        <f>VLOOKUP($A143,'MG Universe'!$A$2:$R$9994,11)</f>
        <v>20.86</v>
      </c>
      <c r="L143" s="23">
        <f>VLOOKUP($A143,'MG Universe'!$A$2:$R$9994,12)</f>
        <v>4.48E-2</v>
      </c>
      <c r="M143" s="106">
        <f>VLOOKUP($A143,'MG Universe'!$A$2:$R$9994,13)</f>
        <v>0</v>
      </c>
      <c r="N143" s="107">
        <f>VLOOKUP($A143,'MG Universe'!$A$2:$R$9994,14)</f>
        <v>1</v>
      </c>
      <c r="O143" s="22">
        <f>VLOOKUP($A143,'MG Universe'!$A$2:$R$9994,15)</f>
        <v>-100.28</v>
      </c>
      <c r="P143" s="23">
        <f>VLOOKUP($A143,'MG Universe'!$A$2:$R$9994,16)</f>
        <v>6.1800000000000001E-2</v>
      </c>
      <c r="Q143" s="109">
        <f>VLOOKUP($A143,'MG Universe'!$A$2:$R$9994,17)</f>
        <v>8</v>
      </c>
      <c r="R143" s="22">
        <f>VLOOKUP($A143,'MG Universe'!$A$2:$R$9994,18)</f>
        <v>73.73</v>
      </c>
    </row>
    <row r="144" spans="1:18" x14ac:dyDescent="0.55000000000000004">
      <c r="A144" s="18" t="s">
        <v>752</v>
      </c>
      <c r="B144" s="19" t="str">
        <f>VLOOKUP($A144,'MG Universe'!$A$2:$R$9994,2)</f>
        <v>DaVita HealthCare Partners Inc</v>
      </c>
      <c r="C144" s="19" t="str">
        <f>VLOOKUP($A144,'MG Universe'!$A$2:$R$9994,3)</f>
        <v>D</v>
      </c>
      <c r="D144" s="19" t="str">
        <f>VLOOKUP($A144,'MG Universe'!$A$2:$R$9994,4)</f>
        <v>S</v>
      </c>
      <c r="E144" s="19" t="str">
        <f>VLOOKUP($A144,'MG Universe'!$A$2:$R$9994,5)</f>
        <v>O</v>
      </c>
      <c r="F144" s="20" t="str">
        <f>VLOOKUP($A144,'MG Universe'!$A$2:$R$9994,6)</f>
        <v>SO</v>
      </c>
      <c r="G144" s="103">
        <f>VLOOKUP($A144,'MG Universe'!$A$2:$R$9994,7)</f>
        <v>42321</v>
      </c>
      <c r="H144" s="22">
        <f>VLOOKUP($A144,'MG Universe'!$A$2:$R$9994,8)</f>
        <v>47.86</v>
      </c>
      <c r="I144" s="22">
        <f>VLOOKUP($A144,'MG Universe'!$A$2:$R$9994,9)</f>
        <v>68.180000000000007</v>
      </c>
      <c r="J144" s="23">
        <f>VLOOKUP($A144,'MG Universe'!$A$2:$R$9994,10)</f>
        <v>1.4246000000000001</v>
      </c>
      <c r="K144" s="105">
        <f>VLOOKUP($A144,'MG Universe'!$A$2:$R$9994,11)</f>
        <v>24.88</v>
      </c>
      <c r="L144" s="23" t="str">
        <f>VLOOKUP($A144,'MG Universe'!$A$2:$R$9994,12)</f>
        <v>N/A</v>
      </c>
      <c r="M144" s="106">
        <f>VLOOKUP($A144,'MG Universe'!$A$2:$R$9994,13)</f>
        <v>1.1000000000000001</v>
      </c>
      <c r="N144" s="107">
        <f>VLOOKUP($A144,'MG Universe'!$A$2:$R$9994,14)</f>
        <v>1.97</v>
      </c>
      <c r="O144" s="22">
        <f>VLOOKUP($A144,'MG Universe'!$A$2:$R$9994,15)</f>
        <v>-42.3</v>
      </c>
      <c r="P144" s="23">
        <f>VLOOKUP($A144,'MG Universe'!$A$2:$R$9994,16)</f>
        <v>8.1900000000000001E-2</v>
      </c>
      <c r="Q144" s="109">
        <f>VLOOKUP($A144,'MG Universe'!$A$2:$R$9994,17)</f>
        <v>0</v>
      </c>
      <c r="R144" s="22">
        <f>VLOOKUP($A144,'MG Universe'!$A$2:$R$9994,18)</f>
        <v>34.22</v>
      </c>
    </row>
    <row r="145" spans="1:18" x14ac:dyDescent="0.55000000000000004">
      <c r="A145" s="18" t="s">
        <v>527</v>
      </c>
      <c r="B145" s="19" t="str">
        <f>VLOOKUP($A145,'MG Universe'!$A$2:$R$9994,2)</f>
        <v>Devon Energy Corp</v>
      </c>
      <c r="C145" s="19" t="str">
        <f>VLOOKUP($A145,'MG Universe'!$A$2:$R$9994,3)</f>
        <v>C-</v>
      </c>
      <c r="D145" s="19" t="str">
        <f>VLOOKUP($A145,'MG Universe'!$A$2:$R$9994,4)</f>
        <v>S</v>
      </c>
      <c r="E145" s="19" t="str">
        <f>VLOOKUP($A145,'MG Universe'!$A$2:$R$9994,5)</f>
        <v>U</v>
      </c>
      <c r="F145" s="20" t="str">
        <f>VLOOKUP($A145,'MG Universe'!$A$2:$R$9994,6)</f>
        <v>SU</v>
      </c>
      <c r="G145" s="103">
        <f>VLOOKUP($A145,'MG Universe'!$A$2:$R$9994,7)</f>
        <v>42030</v>
      </c>
      <c r="H145" s="22">
        <f>VLOOKUP($A145,'MG Universe'!$A$2:$R$9994,8)</f>
        <v>83.74</v>
      </c>
      <c r="I145" s="22">
        <f>VLOOKUP($A145,'MG Universe'!$A$2:$R$9994,9)</f>
        <v>21.52</v>
      </c>
      <c r="J145" s="23">
        <f>VLOOKUP($A145,'MG Universe'!$A$2:$R$9994,10)</f>
        <v>0.25700000000000001</v>
      </c>
      <c r="K145" s="105">
        <f>VLOOKUP($A145,'MG Universe'!$A$2:$R$9994,11)</f>
        <v>5.9</v>
      </c>
      <c r="L145" s="23">
        <f>VLOOKUP($A145,'MG Universe'!$A$2:$R$9994,12)</f>
        <v>1.12E-2</v>
      </c>
      <c r="M145" s="106">
        <f>VLOOKUP($A145,'MG Universe'!$A$2:$R$9994,13)</f>
        <v>1.7</v>
      </c>
      <c r="N145" s="107">
        <f>VLOOKUP($A145,'MG Universe'!$A$2:$R$9994,14)</f>
        <v>1</v>
      </c>
      <c r="O145" s="22">
        <f>VLOOKUP($A145,'MG Universe'!$A$2:$R$9994,15)</f>
        <v>-55.75</v>
      </c>
      <c r="P145" s="23">
        <f>VLOOKUP($A145,'MG Universe'!$A$2:$R$9994,16)</f>
        <v>-1.2999999999999999E-2</v>
      </c>
      <c r="Q145" s="109">
        <f>VLOOKUP($A145,'MG Universe'!$A$2:$R$9994,17)</f>
        <v>0</v>
      </c>
      <c r="R145" s="22">
        <f>VLOOKUP($A145,'MG Universe'!$A$2:$R$9994,18)</f>
        <v>0</v>
      </c>
    </row>
    <row r="146" spans="1:18" x14ac:dyDescent="0.55000000000000004">
      <c r="A146" s="18" t="s">
        <v>1067</v>
      </c>
      <c r="B146" s="19" t="str">
        <f>VLOOKUP($A146,'MG Universe'!$A$2:$R$9994,2)</f>
        <v>Electronic Arts Inc.</v>
      </c>
      <c r="C146" s="19" t="str">
        <f>VLOOKUP($A146,'MG Universe'!$A$2:$R$9994,3)</f>
        <v>F</v>
      </c>
      <c r="D146" s="19" t="str">
        <f>VLOOKUP($A146,'MG Universe'!$A$2:$R$9994,4)</f>
        <v>S</v>
      </c>
      <c r="E146" s="19" t="str">
        <f>VLOOKUP($A146,'MG Universe'!$A$2:$R$9994,5)</f>
        <v>O</v>
      </c>
      <c r="F146" s="20" t="str">
        <f>VLOOKUP($A146,'MG Universe'!$A$2:$R$9994,6)</f>
        <v>SO</v>
      </c>
      <c r="G146" s="103">
        <f>VLOOKUP($A146,'MG Universe'!$A$2:$R$9994,7)</f>
        <v>42035</v>
      </c>
      <c r="H146" s="22">
        <f>VLOOKUP($A146,'MG Universe'!$A$2:$R$9994,8)</f>
        <v>32.01</v>
      </c>
      <c r="I146" s="22">
        <f>VLOOKUP($A146,'MG Universe'!$A$2:$R$9994,9)</f>
        <v>66.09</v>
      </c>
      <c r="J146" s="23">
        <f>VLOOKUP($A146,'MG Universe'!$A$2:$R$9994,10)</f>
        <v>2.0647000000000002</v>
      </c>
      <c r="K146" s="105">
        <f>VLOOKUP($A146,'MG Universe'!$A$2:$R$9994,11)</f>
        <v>79.63</v>
      </c>
      <c r="L146" s="23" t="str">
        <f>VLOOKUP($A146,'MG Universe'!$A$2:$R$9994,12)</f>
        <v>N/A</v>
      </c>
      <c r="M146" s="106">
        <f>VLOOKUP($A146,'MG Universe'!$A$2:$R$9994,13)</f>
        <v>0.7</v>
      </c>
      <c r="N146" s="107">
        <f>VLOOKUP($A146,'MG Universe'!$A$2:$R$9994,14)</f>
        <v>1.22</v>
      </c>
      <c r="O146" s="22">
        <f>VLOOKUP($A146,'MG Universe'!$A$2:$R$9994,15)</f>
        <v>0.85</v>
      </c>
      <c r="P146" s="23">
        <f>VLOOKUP($A146,'MG Universe'!$A$2:$R$9994,16)</f>
        <v>0.35560000000000003</v>
      </c>
      <c r="Q146" s="109">
        <f>VLOOKUP($A146,'MG Universe'!$A$2:$R$9994,17)</f>
        <v>0</v>
      </c>
      <c r="R146" s="22">
        <f>VLOOKUP($A146,'MG Universe'!$A$2:$R$9994,18)</f>
        <v>0</v>
      </c>
    </row>
    <row r="147" spans="1:18" x14ac:dyDescent="0.55000000000000004">
      <c r="A147" s="18" t="s">
        <v>754</v>
      </c>
      <c r="B147" s="19" t="str">
        <f>VLOOKUP($A147,'MG Universe'!$A$2:$R$9994,2)</f>
        <v>eBay Inc</v>
      </c>
      <c r="C147" s="19" t="str">
        <f>VLOOKUP($A147,'MG Universe'!$A$2:$R$9994,3)</f>
        <v>D</v>
      </c>
      <c r="D147" s="19" t="str">
        <f>VLOOKUP($A147,'MG Universe'!$A$2:$R$9994,4)</f>
        <v>S</v>
      </c>
      <c r="E147" s="19" t="str">
        <f>VLOOKUP($A147,'MG Universe'!$A$2:$R$9994,5)</f>
        <v>O</v>
      </c>
      <c r="F147" s="20" t="str">
        <f>VLOOKUP($A147,'MG Universe'!$A$2:$R$9994,6)</f>
        <v>SO</v>
      </c>
      <c r="G147" s="103">
        <f>VLOOKUP($A147,'MG Universe'!$A$2:$R$9994,7)</f>
        <v>42231</v>
      </c>
      <c r="H147" s="22">
        <f>VLOOKUP($A147,'MG Universe'!$A$2:$R$9994,8)</f>
        <v>2.2000000000000002</v>
      </c>
      <c r="I147" s="22">
        <f>VLOOKUP($A147,'MG Universe'!$A$2:$R$9994,9)</f>
        <v>23.72</v>
      </c>
      <c r="J147" s="23">
        <f>VLOOKUP($A147,'MG Universe'!$A$2:$R$9994,10)</f>
        <v>10.7818</v>
      </c>
      <c r="K147" s="105">
        <f>VLOOKUP($A147,'MG Universe'!$A$2:$R$9994,11)</f>
        <v>17.829999999999998</v>
      </c>
      <c r="L147" s="23" t="str">
        <f>VLOOKUP($A147,'MG Universe'!$A$2:$R$9994,12)</f>
        <v>N/A</v>
      </c>
      <c r="M147" s="106">
        <f>VLOOKUP($A147,'MG Universe'!$A$2:$R$9994,13)</f>
        <v>1.1000000000000001</v>
      </c>
      <c r="N147" s="107">
        <f>VLOOKUP($A147,'MG Universe'!$A$2:$R$9994,14)</f>
        <v>1.67</v>
      </c>
      <c r="O147" s="22">
        <f>VLOOKUP($A147,'MG Universe'!$A$2:$R$9994,15)</f>
        <v>2.2000000000000002</v>
      </c>
      <c r="P147" s="23">
        <f>VLOOKUP($A147,'MG Universe'!$A$2:$R$9994,16)</f>
        <v>4.6699999999999998E-2</v>
      </c>
      <c r="Q147" s="109">
        <f>VLOOKUP($A147,'MG Universe'!$A$2:$R$9994,17)</f>
        <v>0</v>
      </c>
      <c r="R147" s="22">
        <f>VLOOKUP($A147,'MG Universe'!$A$2:$R$9994,18)</f>
        <v>0</v>
      </c>
    </row>
    <row r="148" spans="1:18" x14ac:dyDescent="0.55000000000000004">
      <c r="A148" s="18" t="s">
        <v>1069</v>
      </c>
      <c r="B148" s="19" t="str">
        <f>VLOOKUP($A148,'MG Universe'!$A$2:$R$9994,2)</f>
        <v>Ecolab Inc.</v>
      </c>
      <c r="C148" s="19" t="str">
        <f>VLOOKUP($A148,'MG Universe'!$A$2:$R$9994,3)</f>
        <v>F</v>
      </c>
      <c r="D148" s="19" t="str">
        <f>VLOOKUP($A148,'MG Universe'!$A$2:$R$9994,4)</f>
        <v>S</v>
      </c>
      <c r="E148" s="19" t="str">
        <f>VLOOKUP($A148,'MG Universe'!$A$2:$R$9994,5)</f>
        <v>O</v>
      </c>
      <c r="F148" s="20" t="str">
        <f>VLOOKUP($A148,'MG Universe'!$A$2:$R$9994,6)</f>
        <v>SO</v>
      </c>
      <c r="G148" s="103">
        <f>VLOOKUP($A148,'MG Universe'!$A$2:$R$9994,7)</f>
        <v>42056</v>
      </c>
      <c r="H148" s="22">
        <f>VLOOKUP($A148,'MG Universe'!$A$2:$R$9994,8)</f>
        <v>85.64</v>
      </c>
      <c r="I148" s="22">
        <f>VLOOKUP($A148,'MG Universe'!$A$2:$R$9994,9)</f>
        <v>104.68</v>
      </c>
      <c r="J148" s="23">
        <f>VLOOKUP($A148,'MG Universe'!$A$2:$R$9994,10)</f>
        <v>1.2222999999999999</v>
      </c>
      <c r="K148" s="105">
        <f>VLOOKUP($A148,'MG Universe'!$A$2:$R$9994,11)</f>
        <v>33.770000000000003</v>
      </c>
      <c r="L148" s="23">
        <f>VLOOKUP($A148,'MG Universe'!$A$2:$R$9994,12)</f>
        <v>1.34E-2</v>
      </c>
      <c r="M148" s="106">
        <f>VLOOKUP($A148,'MG Universe'!$A$2:$R$9994,13)</f>
        <v>0.8</v>
      </c>
      <c r="N148" s="107">
        <f>VLOOKUP($A148,'MG Universe'!$A$2:$R$9994,14)</f>
        <v>1.0900000000000001</v>
      </c>
      <c r="O148" s="22">
        <f>VLOOKUP($A148,'MG Universe'!$A$2:$R$9994,15)</f>
        <v>-23.28</v>
      </c>
      <c r="P148" s="23">
        <f>VLOOKUP($A148,'MG Universe'!$A$2:$R$9994,16)</f>
        <v>0.1263</v>
      </c>
      <c r="Q148" s="109">
        <f>VLOOKUP($A148,'MG Universe'!$A$2:$R$9994,17)</f>
        <v>0</v>
      </c>
      <c r="R148" s="22">
        <f>VLOOKUP($A148,'MG Universe'!$A$2:$R$9994,18)</f>
        <v>0</v>
      </c>
    </row>
    <row r="149" spans="1:18" x14ac:dyDescent="0.55000000000000004">
      <c r="A149" s="18" t="s">
        <v>878</v>
      </c>
      <c r="B149" s="19" t="str">
        <f>VLOOKUP($A149,'MG Universe'!$A$2:$R$9994,2)</f>
        <v>Consolidated Edison, Inc.</v>
      </c>
      <c r="C149" s="19" t="str">
        <f>VLOOKUP($A149,'MG Universe'!$A$2:$R$9994,3)</f>
        <v>D+</v>
      </c>
      <c r="D149" s="19" t="str">
        <f>VLOOKUP($A149,'MG Universe'!$A$2:$R$9994,4)</f>
        <v>S</v>
      </c>
      <c r="E149" s="19" t="str">
        <f>VLOOKUP($A149,'MG Universe'!$A$2:$R$9994,5)</f>
        <v>O</v>
      </c>
      <c r="F149" s="20" t="str">
        <f>VLOOKUP($A149,'MG Universe'!$A$2:$R$9994,6)</f>
        <v>SO</v>
      </c>
      <c r="G149" s="103">
        <f>VLOOKUP($A149,'MG Universe'!$A$2:$R$9994,7)</f>
        <v>42167</v>
      </c>
      <c r="H149" s="22">
        <f>VLOOKUP($A149,'MG Universe'!$A$2:$R$9994,8)</f>
        <v>37.68</v>
      </c>
      <c r="I149" s="22">
        <f>VLOOKUP($A149,'MG Universe'!$A$2:$R$9994,9)</f>
        <v>70.3</v>
      </c>
      <c r="J149" s="23">
        <f>VLOOKUP($A149,'MG Universe'!$A$2:$R$9994,10)</f>
        <v>1.8656999999999999</v>
      </c>
      <c r="K149" s="105">
        <f>VLOOKUP($A149,'MG Universe'!$A$2:$R$9994,11)</f>
        <v>18.75</v>
      </c>
      <c r="L149" s="23">
        <f>VLOOKUP($A149,'MG Universe'!$A$2:$R$9994,12)</f>
        <v>3.8100000000000002E-2</v>
      </c>
      <c r="M149" s="106">
        <f>VLOOKUP($A149,'MG Universe'!$A$2:$R$9994,13)</f>
        <v>-0.1</v>
      </c>
      <c r="N149" s="107">
        <f>VLOOKUP($A149,'MG Universe'!$A$2:$R$9994,14)</f>
        <v>1</v>
      </c>
      <c r="O149" s="22">
        <f>VLOOKUP($A149,'MG Universe'!$A$2:$R$9994,15)</f>
        <v>-94.65</v>
      </c>
      <c r="P149" s="23">
        <f>VLOOKUP($A149,'MG Universe'!$A$2:$R$9994,16)</f>
        <v>5.1200000000000002E-2</v>
      </c>
      <c r="Q149" s="109">
        <f>VLOOKUP($A149,'MG Universe'!$A$2:$R$9994,17)</f>
        <v>0</v>
      </c>
      <c r="R149" s="22">
        <f>VLOOKUP($A149,'MG Universe'!$A$2:$R$9994,18)</f>
        <v>0</v>
      </c>
    </row>
    <row r="150" spans="1:18" x14ac:dyDescent="0.55000000000000004">
      <c r="A150" s="18" t="s">
        <v>1071</v>
      </c>
      <c r="B150" s="19" t="str">
        <f>VLOOKUP($A150,'MG Universe'!$A$2:$R$9994,2)</f>
        <v>Equifax Inc.</v>
      </c>
      <c r="C150" s="19" t="str">
        <f>VLOOKUP($A150,'MG Universe'!$A$2:$R$9994,3)</f>
        <v>F</v>
      </c>
      <c r="D150" s="19" t="str">
        <f>VLOOKUP($A150,'MG Universe'!$A$2:$R$9994,4)</f>
        <v>S</v>
      </c>
      <c r="E150" s="19" t="str">
        <f>VLOOKUP($A150,'MG Universe'!$A$2:$R$9994,5)</f>
        <v>O</v>
      </c>
      <c r="F150" s="20" t="str">
        <f>VLOOKUP($A150,'MG Universe'!$A$2:$R$9994,6)</f>
        <v>SO</v>
      </c>
      <c r="G150" s="103">
        <f>VLOOKUP($A150,'MG Universe'!$A$2:$R$9994,7)</f>
        <v>42098</v>
      </c>
      <c r="H150" s="22">
        <f>VLOOKUP($A150,'MG Universe'!$A$2:$R$9994,8)</f>
        <v>43.53</v>
      </c>
      <c r="I150" s="22">
        <f>VLOOKUP($A150,'MG Universe'!$A$2:$R$9994,9)</f>
        <v>107</v>
      </c>
      <c r="J150" s="23">
        <f>VLOOKUP($A150,'MG Universe'!$A$2:$R$9994,10)</f>
        <v>2.4581</v>
      </c>
      <c r="K150" s="105">
        <f>VLOOKUP($A150,'MG Universe'!$A$2:$R$9994,11)</f>
        <v>41.47</v>
      </c>
      <c r="L150" s="23">
        <f>VLOOKUP($A150,'MG Universe'!$A$2:$R$9994,12)</f>
        <v>1.23E-2</v>
      </c>
      <c r="M150" s="106">
        <f>VLOOKUP($A150,'MG Universe'!$A$2:$R$9994,13)</f>
        <v>0.9</v>
      </c>
      <c r="N150" s="107">
        <f>VLOOKUP($A150,'MG Universe'!$A$2:$R$9994,14)</f>
        <v>0.74</v>
      </c>
      <c r="O150" s="22">
        <f>VLOOKUP($A150,'MG Universe'!$A$2:$R$9994,15)</f>
        <v>-15.36</v>
      </c>
      <c r="P150" s="23">
        <f>VLOOKUP($A150,'MG Universe'!$A$2:$R$9994,16)</f>
        <v>0.16489999999999999</v>
      </c>
      <c r="Q150" s="109">
        <f>VLOOKUP($A150,'MG Universe'!$A$2:$R$9994,17)</f>
        <v>0</v>
      </c>
      <c r="R150" s="22">
        <f>VLOOKUP($A150,'MG Universe'!$A$2:$R$9994,18)</f>
        <v>0</v>
      </c>
    </row>
    <row r="151" spans="1:18" x14ac:dyDescent="0.55000000000000004">
      <c r="A151" s="18" t="s">
        <v>756</v>
      </c>
      <c r="B151" s="19" t="str">
        <f>VLOOKUP($A151,'MG Universe'!$A$2:$R$9994,2)</f>
        <v>Edison International</v>
      </c>
      <c r="C151" s="19" t="str">
        <f>VLOOKUP($A151,'MG Universe'!$A$2:$R$9994,3)</f>
        <v>D</v>
      </c>
      <c r="D151" s="19" t="str">
        <f>VLOOKUP($A151,'MG Universe'!$A$2:$R$9994,4)</f>
        <v>S</v>
      </c>
      <c r="E151" s="19" t="str">
        <f>VLOOKUP($A151,'MG Universe'!$A$2:$R$9994,5)</f>
        <v>O</v>
      </c>
      <c r="F151" s="20" t="str">
        <f>VLOOKUP($A151,'MG Universe'!$A$2:$R$9994,6)</f>
        <v>SO</v>
      </c>
      <c r="G151" s="103">
        <f>VLOOKUP($A151,'MG Universe'!$A$2:$R$9994,7)</f>
        <v>42134</v>
      </c>
      <c r="H151" s="22">
        <f>VLOOKUP($A151,'MG Universe'!$A$2:$R$9994,8)</f>
        <v>53.46</v>
      </c>
      <c r="I151" s="22">
        <f>VLOOKUP($A151,'MG Universe'!$A$2:$R$9994,9)</f>
        <v>66.97</v>
      </c>
      <c r="J151" s="23">
        <f>VLOOKUP($A151,'MG Universe'!$A$2:$R$9994,10)</f>
        <v>1.2526999999999999</v>
      </c>
      <c r="K151" s="105">
        <f>VLOOKUP($A151,'MG Universe'!$A$2:$R$9994,11)</f>
        <v>22.86</v>
      </c>
      <c r="L151" s="23">
        <f>VLOOKUP($A151,'MG Universe'!$A$2:$R$9994,12)</f>
        <v>2.87E-2</v>
      </c>
      <c r="M151" s="106">
        <f>VLOOKUP($A151,'MG Universe'!$A$2:$R$9994,13)</f>
        <v>0.2</v>
      </c>
      <c r="N151" s="107">
        <f>VLOOKUP($A151,'MG Universe'!$A$2:$R$9994,14)</f>
        <v>0.83</v>
      </c>
      <c r="O151" s="22">
        <f>VLOOKUP($A151,'MG Universe'!$A$2:$R$9994,15)</f>
        <v>-108.58</v>
      </c>
      <c r="P151" s="23">
        <f>VLOOKUP($A151,'MG Universe'!$A$2:$R$9994,16)</f>
        <v>7.1800000000000003E-2</v>
      </c>
      <c r="Q151" s="109">
        <f>VLOOKUP($A151,'MG Universe'!$A$2:$R$9994,17)</f>
        <v>0</v>
      </c>
      <c r="R151" s="22">
        <f>VLOOKUP($A151,'MG Universe'!$A$2:$R$9994,18)</f>
        <v>0</v>
      </c>
    </row>
    <row r="152" spans="1:18" x14ac:dyDescent="0.55000000000000004">
      <c r="A152" s="18" t="s">
        <v>380</v>
      </c>
      <c r="B152" s="19" t="str">
        <f>VLOOKUP($A152,'MG Universe'!$A$2:$R$9994,2)</f>
        <v>Estee Lauder Companies Inc</v>
      </c>
      <c r="C152" s="19" t="str">
        <f>VLOOKUP($A152,'MG Universe'!$A$2:$R$9994,3)</f>
        <v>C</v>
      </c>
      <c r="D152" s="19" t="str">
        <f>VLOOKUP($A152,'MG Universe'!$A$2:$R$9994,4)</f>
        <v>E</v>
      </c>
      <c r="E152" s="19" t="str">
        <f>VLOOKUP($A152,'MG Universe'!$A$2:$R$9994,5)</f>
        <v>F</v>
      </c>
      <c r="F152" s="20" t="str">
        <f>VLOOKUP($A152,'MG Universe'!$A$2:$R$9994,6)</f>
        <v>EF</v>
      </c>
      <c r="G152" s="103">
        <f>VLOOKUP($A152,'MG Universe'!$A$2:$R$9994,7)</f>
        <v>42306</v>
      </c>
      <c r="H152" s="22">
        <f>VLOOKUP($A152,'MG Universe'!$A$2:$R$9994,8)</f>
        <v>96.51</v>
      </c>
      <c r="I152" s="22">
        <f>VLOOKUP($A152,'MG Universe'!$A$2:$R$9994,9)</f>
        <v>91.85</v>
      </c>
      <c r="J152" s="23">
        <f>VLOOKUP($A152,'MG Universe'!$A$2:$R$9994,10)</f>
        <v>0.95169999999999999</v>
      </c>
      <c r="K152" s="105">
        <f>VLOOKUP($A152,'MG Universe'!$A$2:$R$9994,11)</f>
        <v>31.78</v>
      </c>
      <c r="L152" s="23">
        <f>VLOOKUP($A152,'MG Universe'!$A$2:$R$9994,12)</f>
        <v>1.3100000000000001E-2</v>
      </c>
      <c r="M152" s="106">
        <f>VLOOKUP($A152,'MG Universe'!$A$2:$R$9994,13)</f>
        <v>1</v>
      </c>
      <c r="N152" s="107">
        <f>VLOOKUP($A152,'MG Universe'!$A$2:$R$9994,14)</f>
        <v>2.09</v>
      </c>
      <c r="O152" s="22">
        <f>VLOOKUP($A152,'MG Universe'!$A$2:$R$9994,15)</f>
        <v>-0.33</v>
      </c>
      <c r="P152" s="23">
        <f>VLOOKUP($A152,'MG Universe'!$A$2:$R$9994,16)</f>
        <v>0.1164</v>
      </c>
      <c r="Q152" s="109">
        <f>VLOOKUP($A152,'MG Universe'!$A$2:$R$9994,17)</f>
        <v>2</v>
      </c>
      <c r="R152" s="22">
        <f>VLOOKUP($A152,'MG Universe'!$A$2:$R$9994,18)</f>
        <v>25.92</v>
      </c>
    </row>
    <row r="153" spans="1:18" x14ac:dyDescent="0.55000000000000004">
      <c r="A153" s="18" t="s">
        <v>880</v>
      </c>
      <c r="B153" s="19" t="str">
        <f>VLOOKUP($A153,'MG Universe'!$A$2:$R$9994,2)</f>
        <v>EMC Corporation</v>
      </c>
      <c r="C153" s="19" t="str">
        <f>VLOOKUP($A153,'MG Universe'!$A$2:$R$9994,3)</f>
        <v>D+</v>
      </c>
      <c r="D153" s="19" t="str">
        <f>VLOOKUP($A153,'MG Universe'!$A$2:$R$9994,4)</f>
        <v>S</v>
      </c>
      <c r="E153" s="19" t="str">
        <f>VLOOKUP($A153,'MG Universe'!$A$2:$R$9994,5)</f>
        <v>F</v>
      </c>
      <c r="F153" s="20" t="str">
        <f>VLOOKUP($A153,'MG Universe'!$A$2:$R$9994,6)</f>
        <v>SF</v>
      </c>
      <c r="G153" s="103">
        <f>VLOOKUP($A153,'MG Universe'!$A$2:$R$9994,7)</f>
        <v>42270</v>
      </c>
      <c r="H153" s="22">
        <f>VLOOKUP($A153,'MG Universe'!$A$2:$R$9994,8)</f>
        <v>34.43</v>
      </c>
      <c r="I153" s="22">
        <f>VLOOKUP($A153,'MG Universe'!$A$2:$R$9994,9)</f>
        <v>26.28</v>
      </c>
      <c r="J153" s="23">
        <f>VLOOKUP($A153,'MG Universe'!$A$2:$R$9994,10)</f>
        <v>0.76329999999999998</v>
      </c>
      <c r="K153" s="105">
        <f>VLOOKUP($A153,'MG Universe'!$A$2:$R$9994,11)</f>
        <v>19.760000000000002</v>
      </c>
      <c r="L153" s="23">
        <f>VLOOKUP($A153,'MG Universe'!$A$2:$R$9994,12)</f>
        <v>1.7500000000000002E-2</v>
      </c>
      <c r="M153" s="106">
        <f>VLOOKUP($A153,'MG Universe'!$A$2:$R$9994,13)</f>
        <v>1.4</v>
      </c>
      <c r="N153" s="107">
        <f>VLOOKUP($A153,'MG Universe'!$A$2:$R$9994,14)</f>
        <v>1.1299999999999999</v>
      </c>
      <c r="O153" s="22">
        <f>VLOOKUP($A153,'MG Universe'!$A$2:$R$9994,15)</f>
        <v>-5.5</v>
      </c>
      <c r="P153" s="23">
        <f>VLOOKUP($A153,'MG Universe'!$A$2:$R$9994,16)</f>
        <v>5.6300000000000003E-2</v>
      </c>
      <c r="Q153" s="109">
        <f>VLOOKUP($A153,'MG Universe'!$A$2:$R$9994,17)</f>
        <v>3</v>
      </c>
      <c r="R153" s="22">
        <f>VLOOKUP($A153,'MG Universe'!$A$2:$R$9994,18)</f>
        <v>18.239999999999998</v>
      </c>
    </row>
    <row r="154" spans="1:18" x14ac:dyDescent="0.55000000000000004">
      <c r="A154" s="18" t="s">
        <v>312</v>
      </c>
      <c r="B154" s="19" t="str">
        <f>VLOOKUP($A154,'MG Universe'!$A$2:$R$9994,2)</f>
        <v>Eastman Chemical Company</v>
      </c>
      <c r="C154" s="19" t="str">
        <f>VLOOKUP($A154,'MG Universe'!$A$2:$R$9994,3)</f>
        <v>B+</v>
      </c>
      <c r="D154" s="19" t="str">
        <f>VLOOKUP($A154,'MG Universe'!$A$2:$R$9994,4)</f>
        <v>D</v>
      </c>
      <c r="E154" s="19" t="str">
        <f>VLOOKUP($A154,'MG Universe'!$A$2:$R$9994,5)</f>
        <v>U</v>
      </c>
      <c r="F154" s="20" t="str">
        <f>VLOOKUP($A154,'MG Universe'!$A$2:$R$9994,6)</f>
        <v>DU</v>
      </c>
      <c r="G154" s="103">
        <f>VLOOKUP($A154,'MG Universe'!$A$2:$R$9994,7)</f>
        <v>42397</v>
      </c>
      <c r="H154" s="22">
        <f>VLOOKUP($A154,'MG Universe'!$A$2:$R$9994,8)</f>
        <v>202.72</v>
      </c>
      <c r="I154" s="22">
        <f>VLOOKUP($A154,'MG Universe'!$A$2:$R$9994,9)</f>
        <v>67.34</v>
      </c>
      <c r="J154" s="23">
        <f>VLOOKUP($A154,'MG Universe'!$A$2:$R$9994,10)</f>
        <v>0.3322</v>
      </c>
      <c r="K154" s="105">
        <f>VLOOKUP($A154,'MG Universe'!$A$2:$R$9994,11)</f>
        <v>12.09</v>
      </c>
      <c r="L154" s="23">
        <f>VLOOKUP($A154,'MG Universe'!$A$2:$R$9994,12)</f>
        <v>2.7300000000000001E-2</v>
      </c>
      <c r="M154" s="106">
        <f>VLOOKUP($A154,'MG Universe'!$A$2:$R$9994,13)</f>
        <v>1.7</v>
      </c>
      <c r="N154" s="107">
        <f>VLOOKUP($A154,'MG Universe'!$A$2:$R$9994,14)</f>
        <v>1.77</v>
      </c>
      <c r="O154" s="22">
        <f>VLOOKUP($A154,'MG Universe'!$A$2:$R$9994,15)</f>
        <v>-58.89</v>
      </c>
      <c r="P154" s="23">
        <f>VLOOKUP($A154,'MG Universe'!$A$2:$R$9994,16)</f>
        <v>1.7899999999999999E-2</v>
      </c>
      <c r="Q154" s="109">
        <f>VLOOKUP($A154,'MG Universe'!$A$2:$R$9994,17)</f>
        <v>6</v>
      </c>
      <c r="R154" s="22">
        <f>VLOOKUP($A154,'MG Universe'!$A$2:$R$9994,18)</f>
        <v>60.23</v>
      </c>
    </row>
    <row r="155" spans="1:18" x14ac:dyDescent="0.55000000000000004">
      <c r="A155" s="18" t="s">
        <v>382</v>
      </c>
      <c r="B155" s="19" t="str">
        <f>VLOOKUP($A155,'MG Universe'!$A$2:$R$9994,2)</f>
        <v>Emerson Electric Co.</v>
      </c>
      <c r="C155" s="19" t="str">
        <f>VLOOKUP($A155,'MG Universe'!$A$2:$R$9994,3)</f>
        <v>C</v>
      </c>
      <c r="D155" s="19" t="str">
        <f>VLOOKUP($A155,'MG Universe'!$A$2:$R$9994,4)</f>
        <v>S</v>
      </c>
      <c r="E155" s="19" t="str">
        <f>VLOOKUP($A155,'MG Universe'!$A$2:$R$9994,5)</f>
        <v>O</v>
      </c>
      <c r="F155" s="20" t="str">
        <f>VLOOKUP($A155,'MG Universe'!$A$2:$R$9994,6)</f>
        <v>SO</v>
      </c>
      <c r="G155" s="103">
        <f>VLOOKUP($A155,'MG Universe'!$A$2:$R$9994,7)</f>
        <v>42412</v>
      </c>
      <c r="H155" s="22">
        <f>VLOOKUP($A155,'MG Universe'!$A$2:$R$9994,8)</f>
        <v>38.39</v>
      </c>
      <c r="I155" s="22">
        <f>VLOOKUP($A155,'MG Universe'!$A$2:$R$9994,9)</f>
        <v>50.41</v>
      </c>
      <c r="J155" s="23">
        <f>VLOOKUP($A155,'MG Universe'!$A$2:$R$9994,10)</f>
        <v>1.3130999999999999</v>
      </c>
      <c r="K155" s="105">
        <f>VLOOKUP($A155,'MG Universe'!$A$2:$R$9994,11)</f>
        <v>15.85</v>
      </c>
      <c r="L155" s="23">
        <f>VLOOKUP($A155,'MG Universe'!$A$2:$R$9994,12)</f>
        <v>3.7699999999999997E-2</v>
      </c>
      <c r="M155" s="106">
        <f>VLOOKUP($A155,'MG Universe'!$A$2:$R$9994,13)</f>
        <v>1.2</v>
      </c>
      <c r="N155" s="107">
        <f>VLOOKUP($A155,'MG Universe'!$A$2:$R$9994,14)</f>
        <v>1.18</v>
      </c>
      <c r="O155" s="22">
        <f>VLOOKUP($A155,'MG Universe'!$A$2:$R$9994,15)</f>
        <v>-6.75</v>
      </c>
      <c r="P155" s="23">
        <f>VLOOKUP($A155,'MG Universe'!$A$2:$R$9994,16)</f>
        <v>3.6799999999999999E-2</v>
      </c>
      <c r="Q155" s="109">
        <f>VLOOKUP($A155,'MG Universe'!$A$2:$R$9994,17)</f>
        <v>20</v>
      </c>
      <c r="R155" s="22">
        <f>VLOOKUP($A155,'MG Universe'!$A$2:$R$9994,18)</f>
        <v>27.4</v>
      </c>
    </row>
    <row r="156" spans="1:18" x14ac:dyDescent="0.55000000000000004">
      <c r="A156" s="18" t="s">
        <v>1073</v>
      </c>
      <c r="B156" s="19" t="str">
        <f>VLOOKUP($A156,'MG Universe'!$A$2:$R$9994,2)</f>
        <v>Endo International plc - Ordinary Shares</v>
      </c>
      <c r="C156" s="19" t="str">
        <f>VLOOKUP($A156,'MG Universe'!$A$2:$R$9994,3)</f>
        <v>F</v>
      </c>
      <c r="D156" s="19" t="str">
        <f>VLOOKUP($A156,'MG Universe'!$A$2:$R$9994,4)</f>
        <v>S</v>
      </c>
      <c r="E156" s="19" t="str">
        <f>VLOOKUP($A156,'MG Universe'!$A$2:$R$9994,5)</f>
        <v>O</v>
      </c>
      <c r="F156" s="20" t="str">
        <f>VLOOKUP($A156,'MG Universe'!$A$2:$R$9994,6)</f>
        <v>SO</v>
      </c>
      <c r="G156" s="103">
        <f>VLOOKUP($A156,'MG Universe'!$A$2:$R$9994,7)</f>
        <v>42200</v>
      </c>
      <c r="H156" s="22">
        <f>VLOOKUP($A156,'MG Universe'!$A$2:$R$9994,8)</f>
        <v>0</v>
      </c>
      <c r="I156" s="22">
        <f>VLOOKUP($A156,'MG Universe'!$A$2:$R$9994,9)</f>
        <v>43.85</v>
      </c>
      <c r="J156" s="23" t="str">
        <f>VLOOKUP($A156,'MG Universe'!$A$2:$R$9994,10)</f>
        <v>N/A</v>
      </c>
      <c r="K156" s="105" t="str">
        <f>VLOOKUP($A156,'MG Universe'!$A$2:$R$9994,11)</f>
        <v>N/A</v>
      </c>
      <c r="L156" s="23" t="str">
        <f>VLOOKUP($A156,'MG Universe'!$A$2:$R$9994,12)</f>
        <v>N/A</v>
      </c>
      <c r="M156" s="106">
        <f>VLOOKUP($A156,'MG Universe'!$A$2:$R$9994,13)</f>
        <v>1.3</v>
      </c>
      <c r="N156" s="107">
        <f>VLOOKUP($A156,'MG Universe'!$A$2:$R$9994,14)</f>
        <v>1.55</v>
      </c>
      <c r="O156" s="22">
        <f>VLOOKUP($A156,'MG Universe'!$A$2:$R$9994,15)</f>
        <v>-26.46</v>
      </c>
      <c r="P156" s="23">
        <f>VLOOKUP($A156,'MG Universe'!$A$2:$R$9994,16)</f>
        <v>-0.16569999999999999</v>
      </c>
      <c r="Q156" s="109">
        <f>VLOOKUP($A156,'MG Universe'!$A$2:$R$9994,17)</f>
        <v>0</v>
      </c>
      <c r="R156" s="22">
        <f>VLOOKUP($A156,'MG Universe'!$A$2:$R$9994,18)</f>
        <v>0</v>
      </c>
    </row>
    <row r="157" spans="1:18" x14ac:dyDescent="0.55000000000000004">
      <c r="A157" s="18" t="s">
        <v>1075</v>
      </c>
      <c r="B157" s="19" t="str">
        <f>VLOOKUP($A157,'MG Universe'!$A$2:$R$9994,2)</f>
        <v>EOG Resources Inc</v>
      </c>
      <c r="C157" s="19" t="str">
        <f>VLOOKUP($A157,'MG Universe'!$A$2:$R$9994,3)</f>
        <v>F</v>
      </c>
      <c r="D157" s="19" t="str">
        <f>VLOOKUP($A157,'MG Universe'!$A$2:$R$9994,4)</f>
        <v>S</v>
      </c>
      <c r="E157" s="19" t="str">
        <f>VLOOKUP($A157,'MG Universe'!$A$2:$R$9994,5)</f>
        <v>O</v>
      </c>
      <c r="F157" s="20" t="str">
        <f>VLOOKUP($A157,'MG Universe'!$A$2:$R$9994,6)</f>
        <v>SO</v>
      </c>
      <c r="G157" s="103">
        <f>VLOOKUP($A157,'MG Universe'!$A$2:$R$9994,7)</f>
        <v>42156</v>
      </c>
      <c r="H157" s="22">
        <f>VLOOKUP($A157,'MG Universe'!$A$2:$R$9994,8)</f>
        <v>37.86</v>
      </c>
      <c r="I157" s="22">
        <f>VLOOKUP($A157,'MG Universe'!$A$2:$R$9994,9)</f>
        <v>67</v>
      </c>
      <c r="J157" s="23">
        <f>VLOOKUP($A157,'MG Universe'!$A$2:$R$9994,10)</f>
        <v>1.7697000000000001</v>
      </c>
      <c r="K157" s="105">
        <f>VLOOKUP($A157,'MG Universe'!$A$2:$R$9994,11)</f>
        <v>29.52</v>
      </c>
      <c r="L157" s="23">
        <f>VLOOKUP($A157,'MG Universe'!$A$2:$R$9994,12)</f>
        <v>0.01</v>
      </c>
      <c r="M157" s="106">
        <f>VLOOKUP($A157,'MG Universe'!$A$2:$R$9994,13)</f>
        <v>1.4</v>
      </c>
      <c r="N157" s="107">
        <f>VLOOKUP($A157,'MG Universe'!$A$2:$R$9994,14)</f>
        <v>1.55</v>
      </c>
      <c r="O157" s="22">
        <f>VLOOKUP($A157,'MG Universe'!$A$2:$R$9994,15)</f>
        <v>-22.81</v>
      </c>
      <c r="P157" s="23">
        <f>VLOOKUP($A157,'MG Universe'!$A$2:$R$9994,16)</f>
        <v>0.1051</v>
      </c>
      <c r="Q157" s="109">
        <f>VLOOKUP($A157,'MG Universe'!$A$2:$R$9994,17)</f>
        <v>0</v>
      </c>
      <c r="R157" s="22">
        <f>VLOOKUP($A157,'MG Universe'!$A$2:$R$9994,18)</f>
        <v>0</v>
      </c>
    </row>
    <row r="158" spans="1:18" x14ac:dyDescent="0.55000000000000004">
      <c r="A158" s="18" t="s">
        <v>758</v>
      </c>
      <c r="B158" s="19" t="str">
        <f>VLOOKUP($A158,'MG Universe'!$A$2:$R$9994,2)</f>
        <v>Equinix Inc</v>
      </c>
      <c r="C158" s="19" t="str">
        <f>VLOOKUP($A158,'MG Universe'!$A$2:$R$9994,3)</f>
        <v>D</v>
      </c>
      <c r="D158" s="19" t="str">
        <f>VLOOKUP($A158,'MG Universe'!$A$2:$R$9994,4)</f>
        <v>S</v>
      </c>
      <c r="E158" s="19" t="str">
        <f>VLOOKUP($A158,'MG Universe'!$A$2:$R$9994,5)</f>
        <v>O</v>
      </c>
      <c r="F158" s="20" t="str">
        <f>VLOOKUP($A158,'MG Universe'!$A$2:$R$9994,6)</f>
        <v>SO</v>
      </c>
      <c r="G158" s="103">
        <f>VLOOKUP($A158,'MG Universe'!$A$2:$R$9994,7)</f>
        <v>42201</v>
      </c>
      <c r="H158" s="22">
        <f>VLOOKUP($A158,'MG Universe'!$A$2:$R$9994,8)</f>
        <v>163.38999999999999</v>
      </c>
      <c r="I158" s="22">
        <f>VLOOKUP($A158,'MG Universe'!$A$2:$R$9994,9)</f>
        <v>304.01</v>
      </c>
      <c r="J158" s="23">
        <f>VLOOKUP($A158,'MG Universe'!$A$2:$R$9994,10)</f>
        <v>1.8606</v>
      </c>
      <c r="K158" s="105">
        <f>VLOOKUP($A158,'MG Universe'!$A$2:$R$9994,11)</f>
        <v>71.7</v>
      </c>
      <c r="L158" s="23">
        <f>VLOOKUP($A158,'MG Universe'!$A$2:$R$9994,12)</f>
        <v>2.3E-2</v>
      </c>
      <c r="M158" s="106">
        <f>VLOOKUP($A158,'MG Universe'!$A$2:$R$9994,13)</f>
        <v>0.9</v>
      </c>
      <c r="N158" s="107">
        <f>VLOOKUP($A158,'MG Universe'!$A$2:$R$9994,14)</f>
        <v>2.16</v>
      </c>
      <c r="O158" s="22">
        <f>VLOOKUP($A158,'MG Universe'!$A$2:$R$9994,15)</f>
        <v>-72.13</v>
      </c>
      <c r="P158" s="23">
        <f>VLOOKUP($A158,'MG Universe'!$A$2:$R$9994,16)</f>
        <v>0.316</v>
      </c>
      <c r="Q158" s="109">
        <f>VLOOKUP($A158,'MG Universe'!$A$2:$R$9994,17)</f>
        <v>0</v>
      </c>
      <c r="R158" s="22">
        <f>VLOOKUP($A158,'MG Universe'!$A$2:$R$9994,18)</f>
        <v>0</v>
      </c>
    </row>
    <row r="159" spans="1:18" x14ac:dyDescent="0.55000000000000004">
      <c r="A159" s="18" t="s">
        <v>529</v>
      </c>
      <c r="B159" s="19" t="str">
        <f>VLOOKUP($A159,'MG Universe'!$A$2:$R$9994,2)</f>
        <v>Equity Residential</v>
      </c>
      <c r="C159" s="19" t="str">
        <f>VLOOKUP($A159,'MG Universe'!$A$2:$R$9994,3)</f>
        <v>C-</v>
      </c>
      <c r="D159" s="19" t="str">
        <f>VLOOKUP($A159,'MG Universe'!$A$2:$R$9994,4)</f>
        <v>S</v>
      </c>
      <c r="E159" s="19" t="str">
        <f>VLOOKUP($A159,'MG Universe'!$A$2:$R$9994,5)</f>
        <v>F</v>
      </c>
      <c r="F159" s="20" t="str">
        <f>VLOOKUP($A159,'MG Universe'!$A$2:$R$9994,6)</f>
        <v>SF</v>
      </c>
      <c r="G159" s="103">
        <f>VLOOKUP($A159,'MG Universe'!$A$2:$R$9994,7)</f>
        <v>42172</v>
      </c>
      <c r="H159" s="22">
        <f>VLOOKUP($A159,'MG Universe'!$A$2:$R$9994,8)</f>
        <v>90.35</v>
      </c>
      <c r="I159" s="22">
        <f>VLOOKUP($A159,'MG Universe'!$A$2:$R$9994,9)</f>
        <v>70.02</v>
      </c>
      <c r="J159" s="23">
        <f>VLOOKUP($A159,'MG Universe'!$A$2:$R$9994,10)</f>
        <v>0.77500000000000002</v>
      </c>
      <c r="K159" s="105">
        <f>VLOOKUP($A159,'MG Universe'!$A$2:$R$9994,11)</f>
        <v>22.02</v>
      </c>
      <c r="L159" s="23">
        <f>VLOOKUP($A159,'MG Universe'!$A$2:$R$9994,12)</f>
        <v>3.1600000000000003E-2</v>
      </c>
      <c r="M159" s="106">
        <f>VLOOKUP($A159,'MG Universe'!$A$2:$R$9994,13)</f>
        <v>0.5</v>
      </c>
      <c r="N159" s="107">
        <f>VLOOKUP($A159,'MG Universe'!$A$2:$R$9994,14)</f>
        <v>0.31</v>
      </c>
      <c r="O159" s="22">
        <f>VLOOKUP($A159,'MG Universe'!$A$2:$R$9994,15)</f>
        <v>-32.590000000000003</v>
      </c>
      <c r="P159" s="23">
        <f>VLOOKUP($A159,'MG Universe'!$A$2:$R$9994,16)</f>
        <v>6.7599999999999993E-2</v>
      </c>
      <c r="Q159" s="109">
        <f>VLOOKUP($A159,'MG Universe'!$A$2:$R$9994,17)</f>
        <v>0</v>
      </c>
      <c r="R159" s="22">
        <f>VLOOKUP($A159,'MG Universe'!$A$2:$R$9994,18)</f>
        <v>0</v>
      </c>
    </row>
    <row r="160" spans="1:18" x14ac:dyDescent="0.55000000000000004">
      <c r="A160" s="18" t="s">
        <v>1077</v>
      </c>
      <c r="B160" s="19" t="str">
        <f>VLOOKUP($A160,'MG Universe'!$A$2:$R$9994,2)</f>
        <v>EQT Corporation</v>
      </c>
      <c r="C160" s="19" t="str">
        <f>VLOOKUP($A160,'MG Universe'!$A$2:$R$9994,3)</f>
        <v>F</v>
      </c>
      <c r="D160" s="19" t="str">
        <f>VLOOKUP($A160,'MG Universe'!$A$2:$R$9994,4)</f>
        <v>S</v>
      </c>
      <c r="E160" s="19" t="str">
        <f>VLOOKUP($A160,'MG Universe'!$A$2:$R$9994,5)</f>
        <v>O</v>
      </c>
      <c r="F160" s="20" t="str">
        <f>VLOOKUP($A160,'MG Universe'!$A$2:$R$9994,6)</f>
        <v>SO</v>
      </c>
      <c r="G160" s="103">
        <f>VLOOKUP($A160,'MG Universe'!$A$2:$R$9994,7)</f>
        <v>42133</v>
      </c>
      <c r="H160" s="22">
        <f>VLOOKUP($A160,'MG Universe'!$A$2:$R$9994,8)</f>
        <v>4.66</v>
      </c>
      <c r="I160" s="22">
        <f>VLOOKUP($A160,'MG Universe'!$A$2:$R$9994,9)</f>
        <v>58.95</v>
      </c>
      <c r="J160" s="23">
        <f>VLOOKUP($A160,'MG Universe'!$A$2:$R$9994,10)</f>
        <v>12.6502</v>
      </c>
      <c r="K160" s="105">
        <f>VLOOKUP($A160,'MG Universe'!$A$2:$R$9994,11)</f>
        <v>34.270000000000003</v>
      </c>
      <c r="L160" s="23">
        <f>VLOOKUP($A160,'MG Universe'!$A$2:$R$9994,12)</f>
        <v>2E-3</v>
      </c>
      <c r="M160" s="106">
        <f>VLOOKUP($A160,'MG Universe'!$A$2:$R$9994,13)</f>
        <v>0.8</v>
      </c>
      <c r="N160" s="107">
        <f>VLOOKUP($A160,'MG Universe'!$A$2:$R$9994,14)</f>
        <v>2.39</v>
      </c>
      <c r="O160" s="22">
        <f>VLOOKUP($A160,'MG Universe'!$A$2:$R$9994,15)</f>
        <v>-37.44</v>
      </c>
      <c r="P160" s="23">
        <f>VLOOKUP($A160,'MG Universe'!$A$2:$R$9994,16)</f>
        <v>0.12889999999999999</v>
      </c>
      <c r="Q160" s="109">
        <f>VLOOKUP($A160,'MG Universe'!$A$2:$R$9994,17)</f>
        <v>0</v>
      </c>
      <c r="R160" s="22">
        <f>VLOOKUP($A160,'MG Universe'!$A$2:$R$9994,18)</f>
        <v>0</v>
      </c>
    </row>
    <row r="161" spans="1:18" x14ac:dyDescent="0.55000000000000004">
      <c r="A161" s="18" t="s">
        <v>882</v>
      </c>
      <c r="B161" s="19" t="str">
        <f>VLOOKUP($A161,'MG Universe'!$A$2:$R$9994,2)</f>
        <v>Eversource Energy</v>
      </c>
      <c r="C161" s="19" t="str">
        <f>VLOOKUP($A161,'MG Universe'!$A$2:$R$9994,3)</f>
        <v>D+</v>
      </c>
      <c r="D161" s="19" t="str">
        <f>VLOOKUP($A161,'MG Universe'!$A$2:$R$9994,4)</f>
        <v>S</v>
      </c>
      <c r="E161" s="19" t="str">
        <f>VLOOKUP($A161,'MG Universe'!$A$2:$R$9994,5)</f>
        <v>O</v>
      </c>
      <c r="F161" s="20" t="str">
        <f>VLOOKUP($A161,'MG Universe'!$A$2:$R$9994,6)</f>
        <v>SO</v>
      </c>
      <c r="G161" s="103">
        <f>VLOOKUP($A161,'MG Universe'!$A$2:$R$9994,7)</f>
        <v>42202</v>
      </c>
      <c r="H161" s="22">
        <f>VLOOKUP($A161,'MG Universe'!$A$2:$R$9994,8)</f>
        <v>39.42</v>
      </c>
      <c r="I161" s="22">
        <f>VLOOKUP($A161,'MG Universe'!$A$2:$R$9994,9)</f>
        <v>54.34</v>
      </c>
      <c r="J161" s="23">
        <f>VLOOKUP($A161,'MG Universe'!$A$2:$R$9994,10)</f>
        <v>1.3785000000000001</v>
      </c>
      <c r="K161" s="105">
        <f>VLOOKUP($A161,'MG Universe'!$A$2:$R$9994,11)</f>
        <v>21.56</v>
      </c>
      <c r="L161" s="23">
        <f>VLOOKUP($A161,'MG Universe'!$A$2:$R$9994,12)</f>
        <v>3.2800000000000003E-2</v>
      </c>
      <c r="M161" s="106">
        <f>VLOOKUP($A161,'MG Universe'!$A$2:$R$9994,13)</f>
        <v>0.3</v>
      </c>
      <c r="N161" s="107">
        <f>VLOOKUP($A161,'MG Universe'!$A$2:$R$9994,14)</f>
        <v>0.9</v>
      </c>
      <c r="O161" s="22">
        <f>VLOOKUP($A161,'MG Universe'!$A$2:$R$9994,15)</f>
        <v>-53.53</v>
      </c>
      <c r="P161" s="23">
        <f>VLOOKUP($A161,'MG Universe'!$A$2:$R$9994,16)</f>
        <v>6.5299999999999997E-2</v>
      </c>
      <c r="Q161" s="109">
        <f>VLOOKUP($A161,'MG Universe'!$A$2:$R$9994,17)</f>
        <v>0</v>
      </c>
      <c r="R161" s="22">
        <f>VLOOKUP($A161,'MG Universe'!$A$2:$R$9994,18)</f>
        <v>0</v>
      </c>
    </row>
    <row r="162" spans="1:18" x14ac:dyDescent="0.55000000000000004">
      <c r="A162" s="18" t="s">
        <v>531</v>
      </c>
      <c r="B162" s="19" t="str">
        <f>VLOOKUP($A162,'MG Universe'!$A$2:$R$9994,2)</f>
        <v>Express Scripts Holding Company</v>
      </c>
      <c r="C162" s="19" t="str">
        <f>VLOOKUP($A162,'MG Universe'!$A$2:$R$9994,3)</f>
        <v>C-</v>
      </c>
      <c r="D162" s="19" t="str">
        <f>VLOOKUP($A162,'MG Universe'!$A$2:$R$9994,4)</f>
        <v>S</v>
      </c>
      <c r="E162" s="19" t="str">
        <f>VLOOKUP($A162,'MG Universe'!$A$2:$R$9994,5)</f>
        <v>U</v>
      </c>
      <c r="F162" s="20" t="str">
        <f>VLOOKUP($A162,'MG Universe'!$A$2:$R$9994,6)</f>
        <v>SU</v>
      </c>
      <c r="G162" s="103">
        <f>VLOOKUP($A162,'MG Universe'!$A$2:$R$9994,7)</f>
        <v>42213</v>
      </c>
      <c r="H162" s="22">
        <f>VLOOKUP($A162,'MG Universe'!$A$2:$R$9994,8)</f>
        <v>95.42</v>
      </c>
      <c r="I162" s="22">
        <f>VLOOKUP($A162,'MG Universe'!$A$2:$R$9994,9)</f>
        <v>71.19</v>
      </c>
      <c r="J162" s="23">
        <f>VLOOKUP($A162,'MG Universe'!$A$2:$R$9994,10)</f>
        <v>0.74609999999999999</v>
      </c>
      <c r="K162" s="105">
        <f>VLOOKUP($A162,'MG Universe'!$A$2:$R$9994,11)</f>
        <v>21.25</v>
      </c>
      <c r="L162" s="23" t="str">
        <f>VLOOKUP($A162,'MG Universe'!$A$2:$R$9994,12)</f>
        <v>N/A</v>
      </c>
      <c r="M162" s="106">
        <f>VLOOKUP($A162,'MG Universe'!$A$2:$R$9994,13)</f>
        <v>1.5</v>
      </c>
      <c r="N162" s="107">
        <f>VLOOKUP($A162,'MG Universe'!$A$2:$R$9994,14)</f>
        <v>0.62</v>
      </c>
      <c r="O162" s="22">
        <f>VLOOKUP($A162,'MG Universe'!$A$2:$R$9994,15)</f>
        <v>-30.09</v>
      </c>
      <c r="P162" s="23">
        <f>VLOOKUP($A162,'MG Universe'!$A$2:$R$9994,16)</f>
        <v>6.3799999999999996E-2</v>
      </c>
      <c r="Q162" s="109">
        <f>VLOOKUP($A162,'MG Universe'!$A$2:$R$9994,17)</f>
        <v>0</v>
      </c>
      <c r="R162" s="22">
        <f>VLOOKUP($A162,'MG Universe'!$A$2:$R$9994,18)</f>
        <v>0</v>
      </c>
    </row>
    <row r="163" spans="1:18" x14ac:dyDescent="0.55000000000000004">
      <c r="A163" s="18" t="s">
        <v>533</v>
      </c>
      <c r="B163" s="19" t="str">
        <f>VLOOKUP($A163,'MG Universe'!$A$2:$R$9994,2)</f>
        <v>Essex Property Trust Inc</v>
      </c>
      <c r="C163" s="19" t="str">
        <f>VLOOKUP($A163,'MG Universe'!$A$2:$R$9994,3)</f>
        <v>C-</v>
      </c>
      <c r="D163" s="19" t="str">
        <f>VLOOKUP($A163,'MG Universe'!$A$2:$R$9994,4)</f>
        <v>S</v>
      </c>
      <c r="E163" s="19" t="str">
        <f>VLOOKUP($A163,'MG Universe'!$A$2:$R$9994,5)</f>
        <v>O</v>
      </c>
      <c r="F163" s="20" t="str">
        <f>VLOOKUP($A163,'MG Universe'!$A$2:$R$9994,6)</f>
        <v>SO</v>
      </c>
      <c r="G163" s="103">
        <f>VLOOKUP($A163,'MG Universe'!$A$2:$R$9994,7)</f>
        <v>42286</v>
      </c>
      <c r="H163" s="22">
        <f>VLOOKUP($A163,'MG Universe'!$A$2:$R$9994,8)</f>
        <v>153.41</v>
      </c>
      <c r="I163" s="22">
        <f>VLOOKUP($A163,'MG Universe'!$A$2:$R$9994,9)</f>
        <v>218</v>
      </c>
      <c r="J163" s="23">
        <f>VLOOKUP($A163,'MG Universe'!$A$2:$R$9994,10)</f>
        <v>1.421</v>
      </c>
      <c r="K163" s="105">
        <f>VLOOKUP($A163,'MG Universe'!$A$2:$R$9994,11)</f>
        <v>54.77</v>
      </c>
      <c r="L163" s="23">
        <f>VLOOKUP($A163,'MG Universe'!$A$2:$R$9994,12)</f>
        <v>2.9399999999999999E-2</v>
      </c>
      <c r="M163" s="106">
        <f>VLOOKUP($A163,'MG Universe'!$A$2:$R$9994,13)</f>
        <v>0.7</v>
      </c>
      <c r="N163" s="107">
        <f>VLOOKUP($A163,'MG Universe'!$A$2:$R$9994,14)</f>
        <v>0.89</v>
      </c>
      <c r="O163" s="22">
        <f>VLOOKUP($A163,'MG Universe'!$A$2:$R$9994,15)</f>
        <v>-85.3</v>
      </c>
      <c r="P163" s="23">
        <f>VLOOKUP($A163,'MG Universe'!$A$2:$R$9994,16)</f>
        <v>0.23139999999999999</v>
      </c>
      <c r="Q163" s="109">
        <f>VLOOKUP($A163,'MG Universe'!$A$2:$R$9994,17)</f>
        <v>20</v>
      </c>
      <c r="R163" s="22">
        <f>VLOOKUP($A163,'MG Universe'!$A$2:$R$9994,18)</f>
        <v>115.6</v>
      </c>
    </row>
    <row r="164" spans="1:18" x14ac:dyDescent="0.55000000000000004">
      <c r="A164" s="18" t="s">
        <v>760</v>
      </c>
      <c r="B164" s="19" t="str">
        <f>VLOOKUP($A164,'MG Universe'!$A$2:$R$9994,2)</f>
        <v>ENSCO PLC</v>
      </c>
      <c r="C164" s="19" t="str">
        <f>VLOOKUP($A164,'MG Universe'!$A$2:$R$9994,3)</f>
        <v>D</v>
      </c>
      <c r="D164" s="19" t="str">
        <f>VLOOKUP($A164,'MG Universe'!$A$2:$R$9994,4)</f>
        <v>S</v>
      </c>
      <c r="E164" s="19" t="str">
        <f>VLOOKUP($A164,'MG Universe'!$A$2:$R$9994,5)</f>
        <v>O</v>
      </c>
      <c r="F164" s="20" t="str">
        <f>VLOOKUP($A164,'MG Universe'!$A$2:$R$9994,6)</f>
        <v>SO</v>
      </c>
      <c r="G164" s="103">
        <f>VLOOKUP($A164,'MG Universe'!$A$2:$R$9994,7)</f>
        <v>42206</v>
      </c>
      <c r="H164" s="22">
        <f>VLOOKUP($A164,'MG Universe'!$A$2:$R$9994,8)</f>
        <v>0</v>
      </c>
      <c r="I164" s="22">
        <f>VLOOKUP($A164,'MG Universe'!$A$2:$R$9994,9)</f>
        <v>9.59</v>
      </c>
      <c r="J164" s="23" t="str">
        <f>VLOOKUP($A164,'MG Universe'!$A$2:$R$9994,10)</f>
        <v>N/A</v>
      </c>
      <c r="K164" s="105" t="str">
        <f>VLOOKUP($A164,'MG Universe'!$A$2:$R$9994,11)</f>
        <v>N/A</v>
      </c>
      <c r="L164" s="23">
        <f>VLOOKUP($A164,'MG Universe'!$A$2:$R$9994,12)</f>
        <v>6.2600000000000003E-2</v>
      </c>
      <c r="M164" s="106">
        <f>VLOOKUP($A164,'MG Universe'!$A$2:$R$9994,13)</f>
        <v>1.7</v>
      </c>
      <c r="N164" s="107">
        <f>VLOOKUP($A164,'MG Universe'!$A$2:$R$9994,14)</f>
        <v>2.69</v>
      </c>
      <c r="O164" s="22">
        <f>VLOOKUP($A164,'MG Universe'!$A$2:$R$9994,15)</f>
        <v>-20.65</v>
      </c>
      <c r="P164" s="23">
        <f>VLOOKUP($A164,'MG Universe'!$A$2:$R$9994,16)</f>
        <v>-7.7499999999999999E-2</v>
      </c>
      <c r="Q164" s="109">
        <f>VLOOKUP($A164,'MG Universe'!$A$2:$R$9994,17)</f>
        <v>0</v>
      </c>
      <c r="R164" s="22">
        <f>VLOOKUP($A164,'MG Universe'!$A$2:$R$9994,18)</f>
        <v>0</v>
      </c>
    </row>
    <row r="165" spans="1:18" x14ac:dyDescent="0.55000000000000004">
      <c r="A165" s="18" t="s">
        <v>1079</v>
      </c>
      <c r="B165" s="19" t="str">
        <f>VLOOKUP($A165,'MG Universe'!$A$2:$R$9994,2)</f>
        <v>E*TRADE Financial Corp</v>
      </c>
      <c r="C165" s="19" t="str">
        <f>VLOOKUP($A165,'MG Universe'!$A$2:$R$9994,3)</f>
        <v>F</v>
      </c>
      <c r="D165" s="19" t="str">
        <f>VLOOKUP($A165,'MG Universe'!$A$2:$R$9994,4)</f>
        <v>S</v>
      </c>
      <c r="E165" s="19" t="str">
        <f>VLOOKUP($A165,'MG Universe'!$A$2:$R$9994,5)</f>
        <v>O</v>
      </c>
      <c r="F165" s="20" t="str">
        <f>VLOOKUP($A165,'MG Universe'!$A$2:$R$9994,6)</f>
        <v>SO</v>
      </c>
      <c r="G165" s="103">
        <f>VLOOKUP($A165,'MG Universe'!$A$2:$R$9994,7)</f>
        <v>42030</v>
      </c>
      <c r="H165" s="22">
        <f>VLOOKUP($A165,'MG Universe'!$A$2:$R$9994,8)</f>
        <v>15.25</v>
      </c>
      <c r="I165" s="22">
        <f>VLOOKUP($A165,'MG Universe'!$A$2:$R$9994,9)</f>
        <v>24.99</v>
      </c>
      <c r="J165" s="23">
        <f>VLOOKUP($A165,'MG Universe'!$A$2:$R$9994,10)</f>
        <v>1.6387</v>
      </c>
      <c r="K165" s="105">
        <f>VLOOKUP($A165,'MG Universe'!$A$2:$R$9994,11)</f>
        <v>62.48</v>
      </c>
      <c r="L165" s="23" t="str">
        <f>VLOOKUP($A165,'MG Universe'!$A$2:$R$9994,12)</f>
        <v>N/A</v>
      </c>
      <c r="M165" s="106">
        <f>VLOOKUP($A165,'MG Universe'!$A$2:$R$9994,13)</f>
        <v>2</v>
      </c>
      <c r="N165" s="107" t="str">
        <f>VLOOKUP($A165,'MG Universe'!$A$2:$R$9994,14)</f>
        <v>N/A</v>
      </c>
      <c r="O165" s="22" t="str">
        <f>VLOOKUP($A165,'MG Universe'!$A$2:$R$9994,15)</f>
        <v>N/A</v>
      </c>
      <c r="P165" s="23">
        <f>VLOOKUP($A165,'MG Universe'!$A$2:$R$9994,16)</f>
        <v>0.26989999999999997</v>
      </c>
      <c r="Q165" s="109">
        <f>VLOOKUP($A165,'MG Universe'!$A$2:$R$9994,17)</f>
        <v>0</v>
      </c>
      <c r="R165" s="22">
        <f>VLOOKUP($A165,'MG Universe'!$A$2:$R$9994,18)</f>
        <v>0</v>
      </c>
    </row>
    <row r="166" spans="1:18" x14ac:dyDescent="0.55000000000000004">
      <c r="A166" s="18" t="s">
        <v>386</v>
      </c>
      <c r="B166" s="19" t="str">
        <f>VLOOKUP($A166,'MG Universe'!$A$2:$R$9994,2)</f>
        <v>Eaton Corporation, PLC Ordinary Shares</v>
      </c>
      <c r="C166" s="19" t="str">
        <f>VLOOKUP($A166,'MG Universe'!$A$2:$R$9994,3)</f>
        <v>C</v>
      </c>
      <c r="D166" s="19" t="str">
        <f>VLOOKUP($A166,'MG Universe'!$A$2:$R$9994,4)</f>
        <v>S</v>
      </c>
      <c r="E166" s="19" t="str">
        <f>VLOOKUP($A166,'MG Universe'!$A$2:$R$9994,5)</f>
        <v>U</v>
      </c>
      <c r="F166" s="20" t="str">
        <f>VLOOKUP($A166,'MG Universe'!$A$2:$R$9994,6)</f>
        <v>SU</v>
      </c>
      <c r="G166" s="103">
        <f>VLOOKUP($A166,'MG Universe'!$A$2:$R$9994,7)</f>
        <v>42143</v>
      </c>
      <c r="H166" s="22">
        <f>VLOOKUP($A166,'MG Universe'!$A$2:$R$9994,8)</f>
        <v>81.739999999999995</v>
      </c>
      <c r="I166" s="22">
        <f>VLOOKUP($A166,'MG Universe'!$A$2:$R$9994,9)</f>
        <v>57.94</v>
      </c>
      <c r="J166" s="23">
        <f>VLOOKUP($A166,'MG Universe'!$A$2:$R$9994,10)</f>
        <v>0.70879999999999999</v>
      </c>
      <c r="K166" s="105">
        <f>VLOOKUP($A166,'MG Universe'!$A$2:$R$9994,11)</f>
        <v>14.27</v>
      </c>
      <c r="L166" s="23">
        <f>VLOOKUP($A166,'MG Universe'!$A$2:$R$9994,12)</f>
        <v>3.9399999999999998E-2</v>
      </c>
      <c r="M166" s="106">
        <f>VLOOKUP($A166,'MG Universe'!$A$2:$R$9994,13)</f>
        <v>1.6</v>
      </c>
      <c r="N166" s="107">
        <f>VLOOKUP($A166,'MG Universe'!$A$2:$R$9994,14)</f>
        <v>1.4</v>
      </c>
      <c r="O166" s="22">
        <f>VLOOKUP($A166,'MG Universe'!$A$2:$R$9994,15)</f>
        <v>4.84</v>
      </c>
      <c r="P166" s="23">
        <f>VLOOKUP($A166,'MG Universe'!$A$2:$R$9994,16)</f>
        <v>2.8899999999999999E-2</v>
      </c>
      <c r="Q166" s="109">
        <f>VLOOKUP($A166,'MG Universe'!$A$2:$R$9994,17)</f>
        <v>0</v>
      </c>
      <c r="R166" s="22">
        <f>VLOOKUP($A166,'MG Universe'!$A$2:$R$9994,18)</f>
        <v>0</v>
      </c>
    </row>
    <row r="167" spans="1:18" x14ac:dyDescent="0.55000000000000004">
      <c r="A167" s="18" t="s">
        <v>762</v>
      </c>
      <c r="B167" s="19" t="str">
        <f>VLOOKUP($A167,'MG Universe'!$A$2:$R$9994,2)</f>
        <v>Entergy Corporation</v>
      </c>
      <c r="C167" s="19" t="str">
        <f>VLOOKUP($A167,'MG Universe'!$A$2:$R$9994,3)</f>
        <v>D</v>
      </c>
      <c r="D167" s="19" t="str">
        <f>VLOOKUP($A167,'MG Universe'!$A$2:$R$9994,4)</f>
        <v>S</v>
      </c>
      <c r="E167" s="19" t="str">
        <f>VLOOKUP($A167,'MG Universe'!$A$2:$R$9994,5)</f>
        <v>O</v>
      </c>
      <c r="F167" s="20" t="str">
        <f>VLOOKUP($A167,'MG Universe'!$A$2:$R$9994,6)</f>
        <v>SO</v>
      </c>
      <c r="G167" s="103">
        <f>VLOOKUP($A167,'MG Universe'!$A$2:$R$9994,7)</f>
        <v>42396</v>
      </c>
      <c r="H167" s="22">
        <f>VLOOKUP($A167,'MG Universe'!$A$2:$R$9994,8)</f>
        <v>0</v>
      </c>
      <c r="I167" s="22">
        <f>VLOOKUP($A167,'MG Universe'!$A$2:$R$9994,9)</f>
        <v>73.22</v>
      </c>
      <c r="J167" s="23" t="str">
        <f>VLOOKUP($A167,'MG Universe'!$A$2:$R$9994,10)</f>
        <v>N/A</v>
      </c>
      <c r="K167" s="105">
        <f>VLOOKUP($A167,'MG Universe'!$A$2:$R$9994,11)</f>
        <v>23.62</v>
      </c>
      <c r="L167" s="23">
        <f>VLOOKUP($A167,'MG Universe'!$A$2:$R$9994,12)</f>
        <v>4.6399999999999997E-2</v>
      </c>
      <c r="M167" s="106">
        <f>VLOOKUP($A167,'MG Universe'!$A$2:$R$9994,13)</f>
        <v>0.3</v>
      </c>
      <c r="N167" s="107">
        <f>VLOOKUP($A167,'MG Universe'!$A$2:$R$9994,14)</f>
        <v>1.19</v>
      </c>
      <c r="O167" s="22">
        <f>VLOOKUP($A167,'MG Universe'!$A$2:$R$9994,15)</f>
        <v>-177.32</v>
      </c>
      <c r="P167" s="23">
        <f>VLOOKUP($A167,'MG Universe'!$A$2:$R$9994,16)</f>
        <v>7.5600000000000001E-2</v>
      </c>
      <c r="Q167" s="109">
        <f>VLOOKUP($A167,'MG Universe'!$A$2:$R$9994,17)</f>
        <v>0</v>
      </c>
      <c r="R167" s="22" t="str">
        <f>VLOOKUP($A167,'MG Universe'!$A$2:$R$9994,18)</f>
        <v>N/A</v>
      </c>
    </row>
    <row r="168" spans="1:18" x14ac:dyDescent="0.55000000000000004">
      <c r="A168" s="18" t="s">
        <v>388</v>
      </c>
      <c r="B168" s="19" t="str">
        <f>VLOOKUP($A168,'MG Universe'!$A$2:$R$9994,2)</f>
        <v>Edwards Lifesciences Corp</v>
      </c>
      <c r="C168" s="19" t="str">
        <f>VLOOKUP($A168,'MG Universe'!$A$2:$R$9994,3)</f>
        <v>C</v>
      </c>
      <c r="D168" s="19" t="str">
        <f>VLOOKUP($A168,'MG Universe'!$A$2:$R$9994,4)</f>
        <v>E</v>
      </c>
      <c r="E168" s="19" t="str">
        <f>VLOOKUP($A168,'MG Universe'!$A$2:$R$9994,5)</f>
        <v>F</v>
      </c>
      <c r="F168" s="20" t="str">
        <f>VLOOKUP($A168,'MG Universe'!$A$2:$R$9994,6)</f>
        <v>EF</v>
      </c>
      <c r="G168" s="103">
        <f>VLOOKUP($A168,'MG Universe'!$A$2:$R$9994,7)</f>
        <v>42409</v>
      </c>
      <c r="H168" s="22">
        <f>VLOOKUP($A168,'MG Universe'!$A$2:$R$9994,8)</f>
        <v>87.95</v>
      </c>
      <c r="I168" s="22">
        <f>VLOOKUP($A168,'MG Universe'!$A$2:$R$9994,9)</f>
        <v>88.29</v>
      </c>
      <c r="J168" s="23">
        <f>VLOOKUP($A168,'MG Universe'!$A$2:$R$9994,10)</f>
        <v>1.0039</v>
      </c>
      <c r="K168" s="105">
        <f>VLOOKUP($A168,'MG Universe'!$A$2:$R$9994,11)</f>
        <v>38.72</v>
      </c>
      <c r="L168" s="23" t="str">
        <f>VLOOKUP($A168,'MG Universe'!$A$2:$R$9994,12)</f>
        <v>N/A</v>
      </c>
      <c r="M168" s="106">
        <f>VLOOKUP($A168,'MG Universe'!$A$2:$R$9994,13)</f>
        <v>0.6</v>
      </c>
      <c r="N168" s="107">
        <f>VLOOKUP($A168,'MG Universe'!$A$2:$R$9994,14)</f>
        <v>4.03</v>
      </c>
      <c r="O168" s="22">
        <f>VLOOKUP($A168,'MG Universe'!$A$2:$R$9994,15)</f>
        <v>3.14</v>
      </c>
      <c r="P168" s="23">
        <f>VLOOKUP($A168,'MG Universe'!$A$2:$R$9994,16)</f>
        <v>0.15110000000000001</v>
      </c>
      <c r="Q168" s="109">
        <f>VLOOKUP($A168,'MG Universe'!$A$2:$R$9994,17)</f>
        <v>0</v>
      </c>
      <c r="R168" s="22">
        <f>VLOOKUP($A168,'MG Universe'!$A$2:$R$9994,18)</f>
        <v>23.29</v>
      </c>
    </row>
    <row r="169" spans="1:18" x14ac:dyDescent="0.55000000000000004">
      <c r="A169" s="18" t="s">
        <v>884</v>
      </c>
      <c r="B169" s="19" t="str">
        <f>VLOOKUP($A169,'MG Universe'!$A$2:$R$9994,2)</f>
        <v>Exelon Corporation</v>
      </c>
      <c r="C169" s="19" t="str">
        <f>VLOOKUP($A169,'MG Universe'!$A$2:$R$9994,3)</f>
        <v>D+</v>
      </c>
      <c r="D169" s="19" t="str">
        <f>VLOOKUP($A169,'MG Universe'!$A$2:$R$9994,4)</f>
        <v>S</v>
      </c>
      <c r="E169" s="19" t="str">
        <f>VLOOKUP($A169,'MG Universe'!$A$2:$R$9994,5)</f>
        <v>O</v>
      </c>
      <c r="F169" s="20" t="str">
        <f>VLOOKUP($A169,'MG Universe'!$A$2:$R$9994,6)</f>
        <v>SO</v>
      </c>
      <c r="G169" s="103">
        <f>VLOOKUP($A169,'MG Universe'!$A$2:$R$9994,7)</f>
        <v>42064</v>
      </c>
      <c r="H169" s="22">
        <f>VLOOKUP($A169,'MG Universe'!$A$2:$R$9994,8)</f>
        <v>0</v>
      </c>
      <c r="I169" s="22">
        <f>VLOOKUP($A169,'MG Universe'!$A$2:$R$9994,9)</f>
        <v>32.31</v>
      </c>
      <c r="J169" s="23" t="str">
        <f>VLOOKUP($A169,'MG Universe'!$A$2:$R$9994,10)</f>
        <v>N/A</v>
      </c>
      <c r="K169" s="105">
        <f>VLOOKUP($A169,'MG Universe'!$A$2:$R$9994,11)</f>
        <v>14.69</v>
      </c>
      <c r="L169" s="23">
        <f>VLOOKUP($A169,'MG Universe'!$A$2:$R$9994,12)</f>
        <v>3.8399999999999997E-2</v>
      </c>
      <c r="M169" s="106">
        <f>VLOOKUP($A169,'MG Universe'!$A$2:$R$9994,13)</f>
        <v>0.1</v>
      </c>
      <c r="N169" s="107">
        <f>VLOOKUP($A169,'MG Universe'!$A$2:$R$9994,14)</f>
        <v>1.38</v>
      </c>
      <c r="O169" s="22">
        <f>VLOOKUP($A169,'MG Universe'!$A$2:$R$9994,15)</f>
        <v>-59.88</v>
      </c>
      <c r="P169" s="23">
        <f>VLOOKUP($A169,'MG Universe'!$A$2:$R$9994,16)</f>
        <v>3.09E-2</v>
      </c>
      <c r="Q169" s="109">
        <f>VLOOKUP($A169,'MG Universe'!$A$2:$R$9994,17)</f>
        <v>0</v>
      </c>
      <c r="R169" s="22">
        <f>VLOOKUP($A169,'MG Universe'!$A$2:$R$9994,18)</f>
        <v>0</v>
      </c>
    </row>
    <row r="170" spans="1:18" x14ac:dyDescent="0.55000000000000004">
      <c r="A170" s="18" t="s">
        <v>658</v>
      </c>
      <c r="B170" s="19" t="str">
        <f>VLOOKUP($A170,'MG Universe'!$A$2:$R$9994,2)</f>
        <v>Expeditors International of Washington</v>
      </c>
      <c r="C170" s="19" t="str">
        <f>VLOOKUP($A170,'MG Universe'!$A$2:$R$9994,3)</f>
        <v>C+</v>
      </c>
      <c r="D170" s="19" t="str">
        <f>VLOOKUP($A170,'MG Universe'!$A$2:$R$9994,4)</f>
        <v>E</v>
      </c>
      <c r="E170" s="19" t="str">
        <f>VLOOKUP($A170,'MG Universe'!$A$2:$R$9994,5)</f>
        <v>O</v>
      </c>
      <c r="F170" s="20" t="str">
        <f>VLOOKUP($A170,'MG Universe'!$A$2:$R$9994,6)</f>
        <v>EO</v>
      </c>
      <c r="G170" s="103">
        <f>VLOOKUP($A170,'MG Universe'!$A$2:$R$9994,7)</f>
        <v>42373</v>
      </c>
      <c r="H170" s="22">
        <f>VLOOKUP($A170,'MG Universe'!$A$2:$R$9994,8)</f>
        <v>34.200000000000003</v>
      </c>
      <c r="I170" s="22">
        <f>VLOOKUP($A170,'MG Universe'!$A$2:$R$9994,9)</f>
        <v>46.18</v>
      </c>
      <c r="J170" s="23">
        <f>VLOOKUP($A170,'MG Universe'!$A$2:$R$9994,10)</f>
        <v>1.3503000000000001</v>
      </c>
      <c r="K170" s="105">
        <f>VLOOKUP($A170,'MG Universe'!$A$2:$R$9994,11)</f>
        <v>23.56</v>
      </c>
      <c r="L170" s="23">
        <f>VLOOKUP($A170,'MG Universe'!$A$2:$R$9994,12)</f>
        <v>1.5599999999999999E-2</v>
      </c>
      <c r="M170" s="106">
        <f>VLOOKUP($A170,'MG Universe'!$A$2:$R$9994,13)</f>
        <v>0.9</v>
      </c>
      <c r="N170" s="107">
        <f>VLOOKUP($A170,'MG Universe'!$A$2:$R$9994,14)</f>
        <v>2.34</v>
      </c>
      <c r="O170" s="22">
        <f>VLOOKUP($A170,'MG Universe'!$A$2:$R$9994,15)</f>
        <v>6.58</v>
      </c>
      <c r="P170" s="23">
        <f>VLOOKUP($A170,'MG Universe'!$A$2:$R$9994,16)</f>
        <v>7.5300000000000006E-2</v>
      </c>
      <c r="Q170" s="109">
        <f>VLOOKUP($A170,'MG Universe'!$A$2:$R$9994,17)</f>
        <v>20</v>
      </c>
      <c r="R170" s="22">
        <f>VLOOKUP($A170,'MG Universe'!$A$2:$R$9994,18)</f>
        <v>22.81</v>
      </c>
    </row>
    <row r="171" spans="1:18" x14ac:dyDescent="0.55000000000000004">
      <c r="A171" s="18" t="s">
        <v>535</v>
      </c>
      <c r="B171" s="19" t="str">
        <f>VLOOKUP($A171,'MG Universe'!$A$2:$R$9994,2)</f>
        <v>Expedia Inc</v>
      </c>
      <c r="C171" s="19" t="str">
        <f>VLOOKUP($A171,'MG Universe'!$A$2:$R$9994,3)</f>
        <v>C-</v>
      </c>
      <c r="D171" s="19" t="str">
        <f>VLOOKUP($A171,'MG Universe'!$A$2:$R$9994,4)</f>
        <v>S</v>
      </c>
      <c r="E171" s="19" t="str">
        <f>VLOOKUP($A171,'MG Universe'!$A$2:$R$9994,5)</f>
        <v>U</v>
      </c>
      <c r="F171" s="20" t="str">
        <f>VLOOKUP($A171,'MG Universe'!$A$2:$R$9994,6)</f>
        <v>SU</v>
      </c>
      <c r="G171" s="103">
        <f>VLOOKUP($A171,'MG Universe'!$A$2:$R$9994,7)</f>
        <v>42278</v>
      </c>
      <c r="H171" s="22">
        <f>VLOOKUP($A171,'MG Universe'!$A$2:$R$9994,8)</f>
        <v>144.58000000000001</v>
      </c>
      <c r="I171" s="22">
        <f>VLOOKUP($A171,'MG Universe'!$A$2:$R$9994,9)</f>
        <v>106.73</v>
      </c>
      <c r="J171" s="23">
        <f>VLOOKUP($A171,'MG Universe'!$A$2:$R$9994,10)</f>
        <v>0.73819999999999997</v>
      </c>
      <c r="K171" s="105">
        <f>VLOOKUP($A171,'MG Universe'!$A$2:$R$9994,11)</f>
        <v>28.39</v>
      </c>
      <c r="L171" s="23">
        <f>VLOOKUP($A171,'MG Universe'!$A$2:$R$9994,12)</f>
        <v>8.9999999999999993E-3</v>
      </c>
      <c r="M171" s="106">
        <f>VLOOKUP($A171,'MG Universe'!$A$2:$R$9994,13)</f>
        <v>0.8</v>
      </c>
      <c r="N171" s="107">
        <f>VLOOKUP($A171,'MG Universe'!$A$2:$R$9994,14)</f>
        <v>0.84</v>
      </c>
      <c r="O171" s="22">
        <f>VLOOKUP($A171,'MG Universe'!$A$2:$R$9994,15)</f>
        <v>-35.58</v>
      </c>
      <c r="P171" s="23">
        <f>VLOOKUP($A171,'MG Universe'!$A$2:$R$9994,16)</f>
        <v>9.9400000000000002E-2</v>
      </c>
      <c r="Q171" s="109">
        <f>VLOOKUP($A171,'MG Universe'!$A$2:$R$9994,17)</f>
        <v>3</v>
      </c>
      <c r="R171" s="22">
        <f>VLOOKUP($A171,'MG Universe'!$A$2:$R$9994,18)</f>
        <v>48.48</v>
      </c>
    </row>
    <row r="172" spans="1:18" x14ac:dyDescent="0.55000000000000004">
      <c r="A172" s="18" t="s">
        <v>98</v>
      </c>
      <c r="B172" s="19" t="str">
        <f>VLOOKUP($A172,'MG Universe'!$A$2:$R$9994,2)</f>
        <v>Ford Motor Company</v>
      </c>
      <c r="C172" s="19" t="str">
        <f>VLOOKUP($A172,'MG Universe'!$A$2:$R$9994,3)</f>
        <v>A-</v>
      </c>
      <c r="D172" s="19" t="str">
        <f>VLOOKUP($A172,'MG Universe'!$A$2:$R$9994,4)</f>
        <v>E</v>
      </c>
      <c r="E172" s="19" t="str">
        <f>VLOOKUP($A172,'MG Universe'!$A$2:$R$9994,5)</f>
        <v>U</v>
      </c>
      <c r="F172" s="20" t="str">
        <f>VLOOKUP($A172,'MG Universe'!$A$2:$R$9994,6)</f>
        <v>EU</v>
      </c>
      <c r="G172" s="103">
        <f>VLOOKUP($A172,'MG Universe'!$A$2:$R$9994,7)</f>
        <v>42376</v>
      </c>
      <c r="H172" s="22">
        <f>VLOOKUP($A172,'MG Universe'!$A$2:$R$9994,8)</f>
        <v>24.52</v>
      </c>
      <c r="I172" s="22">
        <f>VLOOKUP($A172,'MG Universe'!$A$2:$R$9994,9)</f>
        <v>13.23</v>
      </c>
      <c r="J172" s="23">
        <f>VLOOKUP($A172,'MG Universe'!$A$2:$R$9994,10)</f>
        <v>0.53959999999999997</v>
      </c>
      <c r="K172" s="105">
        <f>VLOOKUP($A172,'MG Universe'!$A$2:$R$9994,11)</f>
        <v>8.27</v>
      </c>
      <c r="L172" s="23">
        <f>VLOOKUP($A172,'MG Universe'!$A$2:$R$9994,12)</f>
        <v>4.5400000000000003E-2</v>
      </c>
      <c r="M172" s="106">
        <f>VLOOKUP($A172,'MG Universe'!$A$2:$R$9994,13)</f>
        <v>1.4</v>
      </c>
      <c r="N172" s="107">
        <f>VLOOKUP($A172,'MG Universe'!$A$2:$R$9994,14)</f>
        <v>3.15</v>
      </c>
      <c r="O172" s="22">
        <f>VLOOKUP($A172,'MG Universe'!$A$2:$R$9994,15)</f>
        <v>-6.29</v>
      </c>
      <c r="P172" s="23">
        <f>VLOOKUP($A172,'MG Universe'!$A$2:$R$9994,16)</f>
        <v>-1.1999999999999999E-3</v>
      </c>
      <c r="Q172" s="109">
        <f>VLOOKUP($A172,'MG Universe'!$A$2:$R$9994,17)</f>
        <v>4</v>
      </c>
      <c r="R172" s="22">
        <f>VLOOKUP($A172,'MG Universe'!$A$2:$R$9994,18)</f>
        <v>15.6</v>
      </c>
    </row>
    <row r="173" spans="1:18" x14ac:dyDescent="0.55000000000000004">
      <c r="A173" s="18" t="s">
        <v>660</v>
      </c>
      <c r="B173" s="19" t="str">
        <f>VLOOKUP($A173,'MG Universe'!$A$2:$R$9994,2)</f>
        <v>Fastenal Company</v>
      </c>
      <c r="C173" s="19" t="str">
        <f>VLOOKUP($A173,'MG Universe'!$A$2:$R$9994,3)</f>
        <v>C+</v>
      </c>
      <c r="D173" s="19" t="str">
        <f>VLOOKUP($A173,'MG Universe'!$A$2:$R$9994,4)</f>
        <v>E</v>
      </c>
      <c r="E173" s="19" t="str">
        <f>VLOOKUP($A173,'MG Universe'!$A$2:$R$9994,5)</f>
        <v>F</v>
      </c>
      <c r="F173" s="20" t="str">
        <f>VLOOKUP($A173,'MG Universe'!$A$2:$R$9994,6)</f>
        <v>EF</v>
      </c>
      <c r="G173" s="103">
        <f>VLOOKUP($A173,'MG Universe'!$A$2:$R$9994,7)</f>
        <v>42335</v>
      </c>
      <c r="H173" s="22">
        <f>VLOOKUP($A173,'MG Universe'!$A$2:$R$9994,8)</f>
        <v>46.77</v>
      </c>
      <c r="I173" s="22">
        <f>VLOOKUP($A173,'MG Universe'!$A$2:$R$9994,9)</f>
        <v>46.5</v>
      </c>
      <c r="J173" s="23">
        <f>VLOOKUP($A173,'MG Universe'!$A$2:$R$9994,10)</f>
        <v>0.99419999999999997</v>
      </c>
      <c r="K173" s="105">
        <f>VLOOKUP($A173,'MG Universe'!$A$2:$R$9994,11)</f>
        <v>29.06</v>
      </c>
      <c r="L173" s="23">
        <f>VLOOKUP($A173,'MG Universe'!$A$2:$R$9994,12)</f>
        <v>2.58E-2</v>
      </c>
      <c r="M173" s="106">
        <f>VLOOKUP($A173,'MG Universe'!$A$2:$R$9994,13)</f>
        <v>0.8</v>
      </c>
      <c r="N173" s="107">
        <f>VLOOKUP($A173,'MG Universe'!$A$2:$R$9994,14)</f>
        <v>4.54</v>
      </c>
      <c r="O173" s="22">
        <f>VLOOKUP($A173,'MG Universe'!$A$2:$R$9994,15)</f>
        <v>3.31</v>
      </c>
      <c r="P173" s="23">
        <f>VLOOKUP($A173,'MG Universe'!$A$2:$R$9994,16)</f>
        <v>0.1028</v>
      </c>
      <c r="Q173" s="109">
        <f>VLOOKUP($A173,'MG Universe'!$A$2:$R$9994,17)</f>
        <v>18</v>
      </c>
      <c r="R173" s="22">
        <f>VLOOKUP($A173,'MG Universe'!$A$2:$R$9994,18)</f>
        <v>15.57</v>
      </c>
    </row>
    <row r="174" spans="1:18" x14ac:dyDescent="0.55000000000000004">
      <c r="A174" s="18" t="s">
        <v>390</v>
      </c>
      <c r="B174" s="19" t="str">
        <f>VLOOKUP($A174,'MG Universe'!$A$2:$R$9994,2)</f>
        <v>Facebook Inc</v>
      </c>
      <c r="C174" s="19" t="str">
        <f>VLOOKUP($A174,'MG Universe'!$A$2:$R$9994,3)</f>
        <v>C</v>
      </c>
      <c r="D174" s="19" t="str">
        <f>VLOOKUP($A174,'MG Universe'!$A$2:$R$9994,4)</f>
        <v>E</v>
      </c>
      <c r="E174" s="19" t="str">
        <f>VLOOKUP($A174,'MG Universe'!$A$2:$R$9994,5)</f>
        <v>O</v>
      </c>
      <c r="F174" s="20" t="str">
        <f>VLOOKUP($A174,'MG Universe'!$A$2:$R$9994,6)</f>
        <v>EO</v>
      </c>
      <c r="G174" s="103">
        <f>VLOOKUP($A174,'MG Universe'!$A$2:$R$9994,7)</f>
        <v>42398</v>
      </c>
      <c r="H174" s="22">
        <f>VLOOKUP($A174,'MG Universe'!$A$2:$R$9994,8)</f>
        <v>55.09</v>
      </c>
      <c r="I174" s="22">
        <f>VLOOKUP($A174,'MG Universe'!$A$2:$R$9994,9)</f>
        <v>109.95</v>
      </c>
      <c r="J174" s="23">
        <f>VLOOKUP($A174,'MG Universe'!$A$2:$R$9994,10)</f>
        <v>1.9958</v>
      </c>
      <c r="K174" s="105">
        <f>VLOOKUP($A174,'MG Universe'!$A$2:$R$9994,11)</f>
        <v>76.89</v>
      </c>
      <c r="L174" s="23" t="str">
        <f>VLOOKUP($A174,'MG Universe'!$A$2:$R$9994,12)</f>
        <v>N/A</v>
      </c>
      <c r="M174" s="106">
        <f>VLOOKUP($A174,'MG Universe'!$A$2:$R$9994,13)</f>
        <v>0.8</v>
      </c>
      <c r="N174" s="107">
        <f>VLOOKUP($A174,'MG Universe'!$A$2:$R$9994,14)</f>
        <v>11.25</v>
      </c>
      <c r="O174" s="22">
        <f>VLOOKUP($A174,'MG Universe'!$A$2:$R$9994,15)</f>
        <v>5.85</v>
      </c>
      <c r="P174" s="23">
        <f>VLOOKUP($A174,'MG Universe'!$A$2:$R$9994,16)</f>
        <v>0.34189999999999998</v>
      </c>
      <c r="Q174" s="109">
        <f>VLOOKUP($A174,'MG Universe'!$A$2:$R$9994,17)</f>
        <v>0</v>
      </c>
      <c r="R174" s="22">
        <f>VLOOKUP($A174,'MG Universe'!$A$2:$R$9994,18)</f>
        <v>30.32</v>
      </c>
    </row>
    <row r="175" spans="1:18" x14ac:dyDescent="0.55000000000000004">
      <c r="A175" s="18" t="s">
        <v>1081</v>
      </c>
      <c r="B175" s="19" t="str">
        <f>VLOOKUP($A175,'MG Universe'!$A$2:$R$9994,2)</f>
        <v>Freeport-McMoRan Inc</v>
      </c>
      <c r="C175" s="19" t="str">
        <f>VLOOKUP($A175,'MG Universe'!$A$2:$R$9994,3)</f>
        <v>F</v>
      </c>
      <c r="D175" s="19" t="str">
        <f>VLOOKUP($A175,'MG Universe'!$A$2:$R$9994,4)</f>
        <v>S</v>
      </c>
      <c r="E175" s="19" t="str">
        <f>VLOOKUP($A175,'MG Universe'!$A$2:$R$9994,5)</f>
        <v>O</v>
      </c>
      <c r="F175" s="20" t="str">
        <f>VLOOKUP($A175,'MG Universe'!$A$2:$R$9994,6)</f>
        <v>SO</v>
      </c>
      <c r="G175" s="103">
        <f>VLOOKUP($A175,'MG Universe'!$A$2:$R$9994,7)</f>
        <v>42261</v>
      </c>
      <c r="H175" s="22">
        <f>VLOOKUP($A175,'MG Universe'!$A$2:$R$9994,8)</f>
        <v>0</v>
      </c>
      <c r="I175" s="22">
        <f>VLOOKUP($A175,'MG Universe'!$A$2:$R$9994,9)</f>
        <v>8.98</v>
      </c>
      <c r="J175" s="23" t="str">
        <f>VLOOKUP($A175,'MG Universe'!$A$2:$R$9994,10)</f>
        <v>N/A</v>
      </c>
      <c r="K175" s="105" t="str">
        <f>VLOOKUP($A175,'MG Universe'!$A$2:$R$9994,11)</f>
        <v>N/A</v>
      </c>
      <c r="L175" s="23" t="str">
        <f>VLOOKUP($A175,'MG Universe'!$A$2:$R$9994,12)</f>
        <v>N/A</v>
      </c>
      <c r="M175" s="106">
        <f>VLOOKUP($A175,'MG Universe'!$A$2:$R$9994,13)</f>
        <v>2.5</v>
      </c>
      <c r="N175" s="107">
        <f>VLOOKUP($A175,'MG Universe'!$A$2:$R$9994,14)</f>
        <v>1.84</v>
      </c>
      <c r="O175" s="22">
        <f>VLOOKUP($A175,'MG Universe'!$A$2:$R$9994,15)</f>
        <v>-30.29</v>
      </c>
      <c r="P175" s="23">
        <f>VLOOKUP($A175,'MG Universe'!$A$2:$R$9994,16)</f>
        <v>-0.13800000000000001</v>
      </c>
      <c r="Q175" s="109">
        <f>VLOOKUP($A175,'MG Universe'!$A$2:$R$9994,17)</f>
        <v>0</v>
      </c>
      <c r="R175" s="22" t="str">
        <f>VLOOKUP($A175,'MG Universe'!$A$2:$R$9994,18)</f>
        <v>N/A</v>
      </c>
    </row>
    <row r="176" spans="1:18" x14ac:dyDescent="0.55000000000000004">
      <c r="A176" s="18" t="s">
        <v>1156</v>
      </c>
      <c r="B176" s="19" t="str">
        <f>VLOOKUP($A176,'MG Universe'!$A$2:$R$9994,2)</f>
        <v>Freeport-McMoRan Inc</v>
      </c>
      <c r="C176" s="19" t="str">
        <f>VLOOKUP($A176,'MG Universe'!$A$2:$R$9994,3)</f>
        <v>F</v>
      </c>
      <c r="D176" s="19" t="str">
        <f>VLOOKUP($A176,'MG Universe'!$A$2:$R$9994,4)</f>
        <v>S</v>
      </c>
      <c r="E176" s="19" t="str">
        <f>VLOOKUP($A176,'MG Universe'!$A$2:$R$9994,5)</f>
        <v>O</v>
      </c>
      <c r="F176" s="20" t="str">
        <f>VLOOKUP($A176,'MG Universe'!$A$2:$R$9994,6)</f>
        <v>SO</v>
      </c>
      <c r="G176" s="103">
        <f>VLOOKUP($A176,'MG Universe'!$A$2:$R$9994,7)</f>
        <v>42261</v>
      </c>
      <c r="H176" s="22">
        <f>VLOOKUP($A176,'MG Universe'!$A$2:$R$9994,8)</f>
        <v>0</v>
      </c>
      <c r="I176" s="22">
        <f>VLOOKUP($A176,'MG Universe'!$A$2:$R$9994,9)</f>
        <v>8.98</v>
      </c>
      <c r="J176" s="23" t="str">
        <f>VLOOKUP($A176,'MG Universe'!$A$2:$R$9994,10)</f>
        <v>N/A</v>
      </c>
      <c r="K176" s="105" t="str">
        <f>VLOOKUP($A176,'MG Universe'!$A$2:$R$9994,11)</f>
        <v>N/A</v>
      </c>
      <c r="L176" s="23" t="str">
        <f>VLOOKUP($A176,'MG Universe'!$A$2:$R$9994,12)</f>
        <v>N/A</v>
      </c>
      <c r="M176" s="106">
        <f>VLOOKUP($A176,'MG Universe'!$A$2:$R$9994,13)</f>
        <v>2.5</v>
      </c>
      <c r="N176" s="107">
        <f>VLOOKUP($A176,'MG Universe'!$A$2:$R$9994,14)</f>
        <v>1.84</v>
      </c>
      <c r="O176" s="22">
        <f>VLOOKUP($A176,'MG Universe'!$A$2:$R$9994,15)</f>
        <v>-30.29</v>
      </c>
      <c r="P176" s="23">
        <f>VLOOKUP($A176,'MG Universe'!$A$2:$R$9994,16)</f>
        <v>-0.13800000000000001</v>
      </c>
      <c r="Q176" s="109">
        <f>VLOOKUP($A176,'MG Universe'!$A$2:$R$9994,17)</f>
        <v>0</v>
      </c>
      <c r="R176" s="22" t="str">
        <f>VLOOKUP($A176,'MG Universe'!$A$2:$R$9994,18)</f>
        <v>N/A</v>
      </c>
    </row>
    <row r="177" spans="1:18" x14ac:dyDescent="0.55000000000000004">
      <c r="A177" s="18" t="s">
        <v>662</v>
      </c>
      <c r="B177" s="19" t="str">
        <f>VLOOKUP($A177,'MG Universe'!$A$2:$R$9994,2)</f>
        <v>FedEx Corporation</v>
      </c>
      <c r="C177" s="19" t="str">
        <f>VLOOKUP($A177,'MG Universe'!$A$2:$R$9994,3)</f>
        <v>C+</v>
      </c>
      <c r="D177" s="19" t="str">
        <f>VLOOKUP($A177,'MG Universe'!$A$2:$R$9994,4)</f>
        <v>E</v>
      </c>
      <c r="E177" s="19" t="str">
        <f>VLOOKUP($A177,'MG Universe'!$A$2:$R$9994,5)</f>
        <v>F</v>
      </c>
      <c r="F177" s="20" t="str">
        <f>VLOOKUP($A177,'MG Universe'!$A$2:$R$9994,6)</f>
        <v>EF</v>
      </c>
      <c r="G177" s="103">
        <f>VLOOKUP($A177,'MG Universe'!$A$2:$R$9994,7)</f>
        <v>42335</v>
      </c>
      <c r="H177" s="22">
        <f>VLOOKUP($A177,'MG Universe'!$A$2:$R$9994,8)</f>
        <v>183.07</v>
      </c>
      <c r="I177" s="22">
        <f>VLOOKUP($A177,'MG Universe'!$A$2:$R$9994,9)</f>
        <v>142.27000000000001</v>
      </c>
      <c r="J177" s="23">
        <f>VLOOKUP($A177,'MG Universe'!$A$2:$R$9994,10)</f>
        <v>0.77710000000000001</v>
      </c>
      <c r="K177" s="105">
        <f>VLOOKUP($A177,'MG Universe'!$A$2:$R$9994,11)</f>
        <v>20.38</v>
      </c>
      <c r="L177" s="23">
        <f>VLOOKUP($A177,'MG Universe'!$A$2:$R$9994,12)</f>
        <v>7.0000000000000001E-3</v>
      </c>
      <c r="M177" s="106">
        <f>VLOOKUP($A177,'MG Universe'!$A$2:$R$9994,13)</f>
        <v>1.3</v>
      </c>
      <c r="N177" s="107">
        <f>VLOOKUP($A177,'MG Universe'!$A$2:$R$9994,14)</f>
        <v>1.83</v>
      </c>
      <c r="O177" s="22">
        <f>VLOOKUP($A177,'MG Universe'!$A$2:$R$9994,15)</f>
        <v>-39.369999999999997</v>
      </c>
      <c r="P177" s="23">
        <f>VLOOKUP($A177,'MG Universe'!$A$2:$R$9994,16)</f>
        <v>5.9400000000000001E-2</v>
      </c>
      <c r="Q177" s="109">
        <f>VLOOKUP($A177,'MG Universe'!$A$2:$R$9994,17)</f>
        <v>6</v>
      </c>
      <c r="R177" s="22">
        <f>VLOOKUP($A177,'MG Universe'!$A$2:$R$9994,18)</f>
        <v>105.49</v>
      </c>
    </row>
    <row r="178" spans="1:18" x14ac:dyDescent="0.55000000000000004">
      <c r="A178" s="18" t="s">
        <v>886</v>
      </c>
      <c r="B178" s="19" t="str">
        <f>VLOOKUP($A178,'MG Universe'!$A$2:$R$9994,2)</f>
        <v>FirstEnergy Corp.</v>
      </c>
      <c r="C178" s="19" t="str">
        <f>VLOOKUP($A178,'MG Universe'!$A$2:$R$9994,3)</f>
        <v>D+</v>
      </c>
      <c r="D178" s="19" t="str">
        <f>VLOOKUP($A178,'MG Universe'!$A$2:$R$9994,4)</f>
        <v>S</v>
      </c>
      <c r="E178" s="19" t="str">
        <f>VLOOKUP($A178,'MG Universe'!$A$2:$R$9994,5)</f>
        <v>O</v>
      </c>
      <c r="F178" s="20" t="str">
        <f>VLOOKUP($A178,'MG Universe'!$A$2:$R$9994,6)</f>
        <v>SO</v>
      </c>
      <c r="G178" s="103">
        <f>VLOOKUP($A178,'MG Universe'!$A$2:$R$9994,7)</f>
        <v>42134</v>
      </c>
      <c r="H178" s="22">
        <f>VLOOKUP($A178,'MG Universe'!$A$2:$R$9994,8)</f>
        <v>0</v>
      </c>
      <c r="I178" s="22">
        <f>VLOOKUP($A178,'MG Universe'!$A$2:$R$9994,9)</f>
        <v>33.71</v>
      </c>
      <c r="J178" s="23" t="str">
        <f>VLOOKUP($A178,'MG Universe'!$A$2:$R$9994,10)</f>
        <v>N/A</v>
      </c>
      <c r="K178" s="105">
        <f>VLOOKUP($A178,'MG Universe'!$A$2:$R$9994,11)</f>
        <v>20.94</v>
      </c>
      <c r="L178" s="23">
        <f>VLOOKUP($A178,'MG Universe'!$A$2:$R$9994,12)</f>
        <v>4.2700000000000002E-2</v>
      </c>
      <c r="M178" s="106">
        <f>VLOOKUP($A178,'MG Universe'!$A$2:$R$9994,13)</f>
        <v>0</v>
      </c>
      <c r="N178" s="107">
        <f>VLOOKUP($A178,'MG Universe'!$A$2:$R$9994,14)</f>
        <v>0.64</v>
      </c>
      <c r="O178" s="22">
        <f>VLOOKUP($A178,'MG Universe'!$A$2:$R$9994,15)</f>
        <v>-85.49</v>
      </c>
      <c r="P178" s="23">
        <f>VLOOKUP($A178,'MG Universe'!$A$2:$R$9994,16)</f>
        <v>6.2199999999999998E-2</v>
      </c>
      <c r="Q178" s="109">
        <f>VLOOKUP($A178,'MG Universe'!$A$2:$R$9994,17)</f>
        <v>0</v>
      </c>
      <c r="R178" s="22">
        <f>VLOOKUP($A178,'MG Universe'!$A$2:$R$9994,18)</f>
        <v>0</v>
      </c>
    </row>
    <row r="179" spans="1:18" x14ac:dyDescent="0.55000000000000004">
      <c r="A179" s="18" t="s">
        <v>537</v>
      </c>
      <c r="B179" s="19" t="str">
        <f>VLOOKUP($A179,'MG Universe'!$A$2:$R$9994,2)</f>
        <v>F5 Networks, Inc.</v>
      </c>
      <c r="C179" s="19" t="str">
        <f>VLOOKUP($A179,'MG Universe'!$A$2:$R$9994,3)</f>
        <v>C-</v>
      </c>
      <c r="D179" s="19" t="str">
        <f>VLOOKUP($A179,'MG Universe'!$A$2:$R$9994,4)</f>
        <v>S</v>
      </c>
      <c r="E179" s="19" t="str">
        <f>VLOOKUP($A179,'MG Universe'!$A$2:$R$9994,5)</f>
        <v>U</v>
      </c>
      <c r="F179" s="20" t="str">
        <f>VLOOKUP($A179,'MG Universe'!$A$2:$R$9994,6)</f>
        <v>SU</v>
      </c>
      <c r="G179" s="103">
        <f>VLOOKUP($A179,'MG Universe'!$A$2:$R$9994,7)</f>
        <v>42101</v>
      </c>
      <c r="H179" s="22">
        <f>VLOOKUP($A179,'MG Universe'!$A$2:$R$9994,8)</f>
        <v>173.69</v>
      </c>
      <c r="I179" s="22">
        <f>VLOOKUP($A179,'MG Universe'!$A$2:$R$9994,9)</f>
        <v>100.14</v>
      </c>
      <c r="J179" s="23">
        <f>VLOOKUP($A179,'MG Universe'!$A$2:$R$9994,10)</f>
        <v>0.57650000000000001</v>
      </c>
      <c r="K179" s="105">
        <f>VLOOKUP($A179,'MG Universe'!$A$2:$R$9994,11)</f>
        <v>22.2</v>
      </c>
      <c r="L179" s="23" t="str">
        <f>VLOOKUP($A179,'MG Universe'!$A$2:$R$9994,12)</f>
        <v>N/A</v>
      </c>
      <c r="M179" s="106">
        <f>VLOOKUP($A179,'MG Universe'!$A$2:$R$9994,13)</f>
        <v>1.9</v>
      </c>
      <c r="N179" s="107">
        <f>VLOOKUP($A179,'MG Universe'!$A$2:$R$9994,14)</f>
        <v>1.48</v>
      </c>
      <c r="O179" s="22">
        <f>VLOOKUP($A179,'MG Universe'!$A$2:$R$9994,15)</f>
        <v>1.98</v>
      </c>
      <c r="P179" s="23">
        <f>VLOOKUP($A179,'MG Universe'!$A$2:$R$9994,16)</f>
        <v>6.8500000000000005E-2</v>
      </c>
      <c r="Q179" s="109">
        <f>VLOOKUP($A179,'MG Universe'!$A$2:$R$9994,17)</f>
        <v>0</v>
      </c>
      <c r="R179" s="22">
        <f>VLOOKUP($A179,'MG Universe'!$A$2:$R$9994,18)</f>
        <v>0</v>
      </c>
    </row>
    <row r="180" spans="1:18" x14ac:dyDescent="0.55000000000000004">
      <c r="A180" s="18" t="s">
        <v>888</v>
      </c>
      <c r="B180" s="19" t="str">
        <f>VLOOKUP($A180,'MG Universe'!$A$2:$R$9994,2)</f>
        <v>Fidelity National Information Services</v>
      </c>
      <c r="C180" s="19" t="str">
        <f>VLOOKUP($A180,'MG Universe'!$A$2:$R$9994,3)</f>
        <v>D+</v>
      </c>
      <c r="D180" s="19" t="str">
        <f>VLOOKUP($A180,'MG Universe'!$A$2:$R$9994,4)</f>
        <v>S</v>
      </c>
      <c r="E180" s="19" t="str">
        <f>VLOOKUP($A180,'MG Universe'!$A$2:$R$9994,5)</f>
        <v>U</v>
      </c>
      <c r="F180" s="20" t="str">
        <f>VLOOKUP($A180,'MG Universe'!$A$2:$R$9994,6)</f>
        <v>SU</v>
      </c>
      <c r="G180" s="103">
        <f>VLOOKUP($A180,'MG Universe'!$A$2:$R$9994,7)</f>
        <v>42135</v>
      </c>
      <c r="H180" s="22">
        <f>VLOOKUP($A180,'MG Universe'!$A$2:$R$9994,8)</f>
        <v>83.77</v>
      </c>
      <c r="I180" s="22">
        <f>VLOOKUP($A180,'MG Universe'!$A$2:$R$9994,9)</f>
        <v>59.92</v>
      </c>
      <c r="J180" s="23">
        <f>VLOOKUP($A180,'MG Universe'!$A$2:$R$9994,10)</f>
        <v>0.71530000000000005</v>
      </c>
      <c r="K180" s="105">
        <f>VLOOKUP($A180,'MG Universe'!$A$2:$R$9994,11)</f>
        <v>25.39</v>
      </c>
      <c r="L180" s="23">
        <f>VLOOKUP($A180,'MG Universe'!$A$2:$R$9994,12)</f>
        <v>1.7399999999999999E-2</v>
      </c>
      <c r="M180" s="106">
        <f>VLOOKUP($A180,'MG Universe'!$A$2:$R$9994,13)</f>
        <v>0.9</v>
      </c>
      <c r="N180" s="107">
        <f>VLOOKUP($A180,'MG Universe'!$A$2:$R$9994,14)</f>
        <v>1.47</v>
      </c>
      <c r="O180" s="22">
        <f>VLOOKUP($A180,'MG Universe'!$A$2:$R$9994,15)</f>
        <v>-19.32</v>
      </c>
      <c r="P180" s="23">
        <f>VLOOKUP($A180,'MG Universe'!$A$2:$R$9994,16)</f>
        <v>8.4400000000000003E-2</v>
      </c>
      <c r="Q180" s="109">
        <f>VLOOKUP($A180,'MG Universe'!$A$2:$R$9994,17)</f>
        <v>0</v>
      </c>
      <c r="R180" s="22">
        <f>VLOOKUP($A180,'MG Universe'!$A$2:$R$9994,18)</f>
        <v>0</v>
      </c>
    </row>
    <row r="181" spans="1:18" x14ac:dyDescent="0.55000000000000004">
      <c r="A181" s="18" t="s">
        <v>764</v>
      </c>
      <c r="B181" s="19" t="str">
        <f>VLOOKUP($A181,'MG Universe'!$A$2:$R$9994,2)</f>
        <v>Fiserv Inc</v>
      </c>
      <c r="C181" s="19" t="str">
        <f>VLOOKUP($A181,'MG Universe'!$A$2:$R$9994,3)</f>
        <v>D</v>
      </c>
      <c r="D181" s="19" t="str">
        <f>VLOOKUP($A181,'MG Universe'!$A$2:$R$9994,4)</f>
        <v>S</v>
      </c>
      <c r="E181" s="19" t="str">
        <f>VLOOKUP($A181,'MG Universe'!$A$2:$R$9994,5)</f>
        <v>F</v>
      </c>
      <c r="F181" s="20" t="str">
        <f>VLOOKUP($A181,'MG Universe'!$A$2:$R$9994,6)</f>
        <v>SF</v>
      </c>
      <c r="G181" s="103">
        <f>VLOOKUP($A181,'MG Universe'!$A$2:$R$9994,7)</f>
        <v>42157</v>
      </c>
      <c r="H181" s="22">
        <f>VLOOKUP($A181,'MG Universe'!$A$2:$R$9994,8)</f>
        <v>98.26</v>
      </c>
      <c r="I181" s="22">
        <f>VLOOKUP($A181,'MG Universe'!$A$2:$R$9994,9)</f>
        <v>97.28</v>
      </c>
      <c r="J181" s="23">
        <f>VLOOKUP($A181,'MG Universe'!$A$2:$R$9994,10)</f>
        <v>0.99</v>
      </c>
      <c r="K181" s="105">
        <f>VLOOKUP($A181,'MG Universe'!$A$2:$R$9994,11)</f>
        <v>33.090000000000003</v>
      </c>
      <c r="L181" s="23" t="str">
        <f>VLOOKUP($A181,'MG Universe'!$A$2:$R$9994,12)</f>
        <v>N/A</v>
      </c>
      <c r="M181" s="106">
        <f>VLOOKUP($A181,'MG Universe'!$A$2:$R$9994,13)</f>
        <v>1</v>
      </c>
      <c r="N181" s="107">
        <f>VLOOKUP($A181,'MG Universe'!$A$2:$R$9994,14)</f>
        <v>1</v>
      </c>
      <c r="O181" s="22">
        <f>VLOOKUP($A181,'MG Universe'!$A$2:$R$9994,15)</f>
        <v>-19.010000000000002</v>
      </c>
      <c r="P181" s="23">
        <f>VLOOKUP($A181,'MG Universe'!$A$2:$R$9994,16)</f>
        <v>0.1229</v>
      </c>
      <c r="Q181" s="109">
        <f>VLOOKUP($A181,'MG Universe'!$A$2:$R$9994,17)</f>
        <v>0</v>
      </c>
      <c r="R181" s="22">
        <f>VLOOKUP($A181,'MG Universe'!$A$2:$R$9994,18)</f>
        <v>0</v>
      </c>
    </row>
    <row r="182" spans="1:18" x14ac:dyDescent="0.55000000000000004">
      <c r="A182" s="18" t="s">
        <v>100</v>
      </c>
      <c r="B182" s="19" t="str">
        <f>VLOOKUP($A182,'MG Universe'!$A$2:$R$9994,2)</f>
        <v>Fifth Third Bancorp</v>
      </c>
      <c r="C182" s="19" t="str">
        <f>VLOOKUP($A182,'MG Universe'!$A$2:$R$9994,3)</f>
        <v>A-</v>
      </c>
      <c r="D182" s="19" t="str">
        <f>VLOOKUP($A182,'MG Universe'!$A$2:$R$9994,4)</f>
        <v>E</v>
      </c>
      <c r="E182" s="19" t="str">
        <f>VLOOKUP($A182,'MG Universe'!$A$2:$R$9994,5)</f>
        <v>U</v>
      </c>
      <c r="F182" s="20" t="str">
        <f>VLOOKUP($A182,'MG Universe'!$A$2:$R$9994,6)</f>
        <v>EU</v>
      </c>
      <c r="G182" s="103">
        <f>VLOOKUP($A182,'MG Universe'!$A$2:$R$9994,7)</f>
        <v>42374</v>
      </c>
      <c r="H182" s="22">
        <f>VLOOKUP($A182,'MG Universe'!$A$2:$R$9994,8)</f>
        <v>64.680000000000007</v>
      </c>
      <c r="I182" s="22">
        <f>VLOOKUP($A182,'MG Universe'!$A$2:$R$9994,9)</f>
        <v>16.489999999999998</v>
      </c>
      <c r="J182" s="23">
        <f>VLOOKUP($A182,'MG Universe'!$A$2:$R$9994,10)</f>
        <v>0.25490000000000002</v>
      </c>
      <c r="K182" s="105">
        <f>VLOOKUP($A182,'MG Universe'!$A$2:$R$9994,11)</f>
        <v>9.82</v>
      </c>
      <c r="L182" s="23">
        <f>VLOOKUP($A182,'MG Universe'!$A$2:$R$9994,12)</f>
        <v>3.15E-2</v>
      </c>
      <c r="M182" s="106">
        <f>VLOOKUP($A182,'MG Universe'!$A$2:$R$9994,13)</f>
        <v>1.3</v>
      </c>
      <c r="N182" s="107" t="str">
        <f>VLOOKUP($A182,'MG Universe'!$A$2:$R$9994,14)</f>
        <v>N/A</v>
      </c>
      <c r="O182" s="22" t="str">
        <f>VLOOKUP($A182,'MG Universe'!$A$2:$R$9994,15)</f>
        <v>N/A</v>
      </c>
      <c r="P182" s="23">
        <f>VLOOKUP($A182,'MG Universe'!$A$2:$R$9994,16)</f>
        <v>6.6E-3</v>
      </c>
      <c r="Q182" s="109">
        <f>VLOOKUP($A182,'MG Universe'!$A$2:$R$9994,17)</f>
        <v>5</v>
      </c>
      <c r="R182" s="22">
        <f>VLOOKUP($A182,'MG Universe'!$A$2:$R$9994,18)</f>
        <v>25.61</v>
      </c>
    </row>
    <row r="183" spans="1:18" x14ac:dyDescent="0.55000000000000004">
      <c r="A183" s="18" t="s">
        <v>664</v>
      </c>
      <c r="B183" s="19" t="str">
        <f>VLOOKUP($A183,'MG Universe'!$A$2:$R$9994,2)</f>
        <v>FLIR Systems, Inc.</v>
      </c>
      <c r="C183" s="19" t="str">
        <f>VLOOKUP($A183,'MG Universe'!$A$2:$R$9994,3)</f>
        <v>C+</v>
      </c>
      <c r="D183" s="19" t="str">
        <f>VLOOKUP($A183,'MG Universe'!$A$2:$R$9994,4)</f>
        <v>D</v>
      </c>
      <c r="E183" s="19" t="str">
        <f>VLOOKUP($A183,'MG Universe'!$A$2:$R$9994,5)</f>
        <v>O</v>
      </c>
      <c r="F183" s="20" t="str">
        <f>VLOOKUP($A183,'MG Universe'!$A$2:$R$9994,6)</f>
        <v>DO</v>
      </c>
      <c r="G183" s="103">
        <f>VLOOKUP($A183,'MG Universe'!$A$2:$R$9994,7)</f>
        <v>42321</v>
      </c>
      <c r="H183" s="22">
        <f>VLOOKUP($A183,'MG Universe'!$A$2:$R$9994,8)</f>
        <v>14.46</v>
      </c>
      <c r="I183" s="22">
        <f>VLOOKUP($A183,'MG Universe'!$A$2:$R$9994,9)</f>
        <v>31.8</v>
      </c>
      <c r="J183" s="23">
        <f>VLOOKUP($A183,'MG Universe'!$A$2:$R$9994,10)</f>
        <v>2.1991999999999998</v>
      </c>
      <c r="K183" s="105">
        <f>VLOOKUP($A183,'MG Universe'!$A$2:$R$9994,11)</f>
        <v>21.78</v>
      </c>
      <c r="L183" s="23">
        <f>VLOOKUP($A183,'MG Universe'!$A$2:$R$9994,12)</f>
        <v>1.5100000000000001E-2</v>
      </c>
      <c r="M183" s="106">
        <f>VLOOKUP($A183,'MG Universe'!$A$2:$R$9994,13)</f>
        <v>0.6</v>
      </c>
      <c r="N183" s="107">
        <f>VLOOKUP($A183,'MG Universe'!$A$2:$R$9994,14)</f>
        <v>4.29</v>
      </c>
      <c r="O183" s="22">
        <f>VLOOKUP($A183,'MG Universe'!$A$2:$R$9994,15)</f>
        <v>4.3899999999999997</v>
      </c>
      <c r="P183" s="23">
        <f>VLOOKUP($A183,'MG Universe'!$A$2:$R$9994,16)</f>
        <v>6.6400000000000001E-2</v>
      </c>
      <c r="Q183" s="109">
        <f>VLOOKUP($A183,'MG Universe'!$A$2:$R$9994,17)</f>
        <v>5</v>
      </c>
      <c r="R183" s="22">
        <f>VLOOKUP($A183,'MG Universe'!$A$2:$R$9994,18)</f>
        <v>20.87</v>
      </c>
    </row>
    <row r="184" spans="1:18" x14ac:dyDescent="0.55000000000000004">
      <c r="A184" s="18" t="s">
        <v>237</v>
      </c>
      <c r="B184" s="19" t="str">
        <f>VLOOKUP($A184,'MG Universe'!$A$2:$R$9994,2)</f>
        <v>Fluor Corporation (NEW)</v>
      </c>
      <c r="C184" s="19" t="str">
        <f>VLOOKUP($A184,'MG Universe'!$A$2:$R$9994,3)</f>
        <v>B-</v>
      </c>
      <c r="D184" s="19" t="str">
        <f>VLOOKUP($A184,'MG Universe'!$A$2:$R$9994,4)</f>
        <v>D</v>
      </c>
      <c r="E184" s="19" t="str">
        <f>VLOOKUP($A184,'MG Universe'!$A$2:$R$9994,5)</f>
        <v>F</v>
      </c>
      <c r="F184" s="20" t="str">
        <f>VLOOKUP($A184,'MG Universe'!$A$2:$R$9994,6)</f>
        <v>DF</v>
      </c>
      <c r="G184" s="103">
        <f>VLOOKUP($A184,'MG Universe'!$A$2:$R$9994,7)</f>
        <v>42403</v>
      </c>
      <c r="H184" s="22">
        <f>VLOOKUP($A184,'MG Universe'!$A$2:$R$9994,8)</f>
        <v>45.53</v>
      </c>
      <c r="I184" s="22">
        <f>VLOOKUP($A184,'MG Universe'!$A$2:$R$9994,9)</f>
        <v>48.64</v>
      </c>
      <c r="J184" s="23">
        <f>VLOOKUP($A184,'MG Universe'!$A$2:$R$9994,10)</f>
        <v>1.0683</v>
      </c>
      <c r="K184" s="105">
        <f>VLOOKUP($A184,'MG Universe'!$A$2:$R$9994,11)</f>
        <v>13.62</v>
      </c>
      <c r="L184" s="23">
        <f>VLOOKUP($A184,'MG Universe'!$A$2:$R$9994,12)</f>
        <v>1.7299999999999999E-2</v>
      </c>
      <c r="M184" s="106">
        <f>VLOOKUP($A184,'MG Universe'!$A$2:$R$9994,13)</f>
        <v>1.7</v>
      </c>
      <c r="N184" s="107">
        <f>VLOOKUP($A184,'MG Universe'!$A$2:$R$9994,14)</f>
        <v>1.83</v>
      </c>
      <c r="O184" s="22">
        <f>VLOOKUP($A184,'MG Universe'!$A$2:$R$9994,15)</f>
        <v>4.74</v>
      </c>
      <c r="P184" s="23">
        <f>VLOOKUP($A184,'MG Universe'!$A$2:$R$9994,16)</f>
        <v>2.5600000000000001E-2</v>
      </c>
      <c r="Q184" s="109">
        <f>VLOOKUP($A184,'MG Universe'!$A$2:$R$9994,17)</f>
        <v>2</v>
      </c>
      <c r="R184" s="22">
        <f>VLOOKUP($A184,'MG Universe'!$A$2:$R$9994,18)</f>
        <v>43.8</v>
      </c>
    </row>
    <row r="185" spans="1:18" x14ac:dyDescent="0.55000000000000004">
      <c r="A185" s="18" t="s">
        <v>666</v>
      </c>
      <c r="B185" s="19" t="str">
        <f>VLOOKUP($A185,'MG Universe'!$A$2:$R$9994,2)</f>
        <v>Flowserve Corp</v>
      </c>
      <c r="C185" s="19" t="str">
        <f>VLOOKUP($A185,'MG Universe'!$A$2:$R$9994,3)</f>
        <v>C+</v>
      </c>
      <c r="D185" s="19" t="str">
        <f>VLOOKUP($A185,'MG Universe'!$A$2:$R$9994,4)</f>
        <v>E</v>
      </c>
      <c r="E185" s="19" t="str">
        <f>VLOOKUP($A185,'MG Universe'!$A$2:$R$9994,5)</f>
        <v>F</v>
      </c>
      <c r="F185" s="20" t="str">
        <f>VLOOKUP($A185,'MG Universe'!$A$2:$R$9994,6)</f>
        <v>EF</v>
      </c>
      <c r="G185" s="103">
        <f>VLOOKUP($A185,'MG Universe'!$A$2:$R$9994,7)</f>
        <v>42327</v>
      </c>
      <c r="H185" s="22">
        <f>VLOOKUP($A185,'MG Universe'!$A$2:$R$9994,8)</f>
        <v>48.25</v>
      </c>
      <c r="I185" s="22">
        <f>VLOOKUP($A185,'MG Universe'!$A$2:$R$9994,9)</f>
        <v>43.12</v>
      </c>
      <c r="J185" s="23">
        <f>VLOOKUP($A185,'MG Universe'!$A$2:$R$9994,10)</f>
        <v>0.89370000000000005</v>
      </c>
      <c r="K185" s="105">
        <f>VLOOKUP($A185,'MG Universe'!$A$2:$R$9994,11)</f>
        <v>14.33</v>
      </c>
      <c r="L185" s="23">
        <f>VLOOKUP($A185,'MG Universe'!$A$2:$R$9994,12)</f>
        <v>1.7600000000000001E-2</v>
      </c>
      <c r="M185" s="106">
        <f>VLOOKUP($A185,'MG Universe'!$A$2:$R$9994,13)</f>
        <v>1.8</v>
      </c>
      <c r="N185" s="107">
        <f>VLOOKUP($A185,'MG Universe'!$A$2:$R$9994,14)</f>
        <v>2.02</v>
      </c>
      <c r="O185" s="22">
        <f>VLOOKUP($A185,'MG Universe'!$A$2:$R$9994,15)</f>
        <v>-6.16</v>
      </c>
      <c r="P185" s="23">
        <f>VLOOKUP($A185,'MG Universe'!$A$2:$R$9994,16)</f>
        <v>2.9100000000000001E-2</v>
      </c>
      <c r="Q185" s="109">
        <f>VLOOKUP($A185,'MG Universe'!$A$2:$R$9994,17)</f>
        <v>9</v>
      </c>
      <c r="R185" s="22">
        <f>VLOOKUP($A185,'MG Universe'!$A$2:$R$9994,18)</f>
        <v>26.12</v>
      </c>
    </row>
    <row r="186" spans="1:18" x14ac:dyDescent="0.55000000000000004">
      <c r="A186" s="18" t="s">
        <v>102</v>
      </c>
      <c r="B186" s="19" t="str">
        <f>VLOOKUP($A186,'MG Universe'!$A$2:$R$9994,2)</f>
        <v>FMC Corp</v>
      </c>
      <c r="C186" s="19" t="str">
        <f>VLOOKUP($A186,'MG Universe'!$A$2:$R$9994,3)</f>
        <v>A-</v>
      </c>
      <c r="D186" s="19" t="str">
        <f>VLOOKUP($A186,'MG Universe'!$A$2:$R$9994,4)</f>
        <v>D</v>
      </c>
      <c r="E186" s="19" t="str">
        <f>VLOOKUP($A186,'MG Universe'!$A$2:$R$9994,5)</f>
        <v>U</v>
      </c>
      <c r="F186" s="20" t="str">
        <f>VLOOKUP($A186,'MG Universe'!$A$2:$R$9994,6)</f>
        <v>DU</v>
      </c>
      <c r="G186" s="103">
        <f>VLOOKUP($A186,'MG Universe'!$A$2:$R$9994,7)</f>
        <v>42398</v>
      </c>
      <c r="H186" s="22">
        <f>VLOOKUP($A186,'MG Universe'!$A$2:$R$9994,8)</f>
        <v>131.21</v>
      </c>
      <c r="I186" s="22">
        <f>VLOOKUP($A186,'MG Universe'!$A$2:$R$9994,9)</f>
        <v>38</v>
      </c>
      <c r="J186" s="23">
        <f>VLOOKUP($A186,'MG Universe'!$A$2:$R$9994,10)</f>
        <v>0.28960000000000002</v>
      </c>
      <c r="K186" s="105">
        <f>VLOOKUP($A186,'MG Universe'!$A$2:$R$9994,11)</f>
        <v>10.76</v>
      </c>
      <c r="L186" s="23">
        <f>VLOOKUP($A186,'MG Universe'!$A$2:$R$9994,12)</f>
        <v>1.7399999999999999E-2</v>
      </c>
      <c r="M186" s="106">
        <f>VLOOKUP($A186,'MG Universe'!$A$2:$R$9994,13)</f>
        <v>1.5</v>
      </c>
      <c r="N186" s="107">
        <f>VLOOKUP($A186,'MG Universe'!$A$2:$R$9994,14)</f>
        <v>2.23</v>
      </c>
      <c r="O186" s="22">
        <f>VLOOKUP($A186,'MG Universe'!$A$2:$R$9994,15)</f>
        <v>-8.15</v>
      </c>
      <c r="P186" s="23">
        <f>VLOOKUP($A186,'MG Universe'!$A$2:$R$9994,16)</f>
        <v>1.1299999999999999E-2</v>
      </c>
      <c r="Q186" s="109">
        <f>VLOOKUP($A186,'MG Universe'!$A$2:$R$9994,17)</f>
        <v>5</v>
      </c>
      <c r="R186" s="22">
        <f>VLOOKUP($A186,'MG Universe'!$A$2:$R$9994,18)</f>
        <v>45.2</v>
      </c>
    </row>
    <row r="187" spans="1:18" x14ac:dyDescent="0.55000000000000004">
      <c r="A187" s="18" t="s">
        <v>239</v>
      </c>
      <c r="B187" s="19" t="str">
        <f>VLOOKUP($A187,'MG Universe'!$A$2:$R$9994,2)</f>
        <v>Fossil Group Inc</v>
      </c>
      <c r="C187" s="19" t="str">
        <f>VLOOKUP($A187,'MG Universe'!$A$2:$R$9994,3)</f>
        <v>B-</v>
      </c>
      <c r="D187" s="19" t="str">
        <f>VLOOKUP($A187,'MG Universe'!$A$2:$R$9994,4)</f>
        <v>E</v>
      </c>
      <c r="E187" s="19" t="str">
        <f>VLOOKUP($A187,'MG Universe'!$A$2:$R$9994,5)</f>
        <v>U</v>
      </c>
      <c r="F187" s="20" t="str">
        <f>VLOOKUP($A187,'MG Universe'!$A$2:$R$9994,6)</f>
        <v>EU</v>
      </c>
      <c r="G187" s="103">
        <f>VLOOKUP($A187,'MG Universe'!$A$2:$R$9994,7)</f>
        <v>42416</v>
      </c>
      <c r="H187" s="22">
        <f>VLOOKUP($A187,'MG Universe'!$A$2:$R$9994,8)</f>
        <v>165.99</v>
      </c>
      <c r="I187" s="22">
        <f>VLOOKUP($A187,'MG Universe'!$A$2:$R$9994,9)</f>
        <v>49.23</v>
      </c>
      <c r="J187" s="23">
        <f>VLOOKUP($A187,'MG Universe'!$A$2:$R$9994,10)</f>
        <v>0.29659999999999997</v>
      </c>
      <c r="K187" s="105">
        <f>VLOOKUP($A187,'MG Universe'!$A$2:$R$9994,11)</f>
        <v>8.6999999999999993</v>
      </c>
      <c r="L187" s="23" t="str">
        <f>VLOOKUP($A187,'MG Universe'!$A$2:$R$9994,12)</f>
        <v>N/A</v>
      </c>
      <c r="M187" s="106">
        <f>VLOOKUP($A187,'MG Universe'!$A$2:$R$9994,13)</f>
        <v>1.9</v>
      </c>
      <c r="N187" s="107">
        <f>VLOOKUP($A187,'MG Universe'!$A$2:$R$9994,14)</f>
        <v>3.61</v>
      </c>
      <c r="O187" s="22">
        <f>VLOOKUP($A187,'MG Universe'!$A$2:$R$9994,15)</f>
        <v>3.73</v>
      </c>
      <c r="P187" s="23">
        <f>VLOOKUP($A187,'MG Universe'!$A$2:$R$9994,16)</f>
        <v>1E-3</v>
      </c>
      <c r="Q187" s="109">
        <f>VLOOKUP($A187,'MG Universe'!$A$2:$R$9994,17)</f>
        <v>0</v>
      </c>
      <c r="R187" s="22">
        <f>VLOOKUP($A187,'MG Universe'!$A$2:$R$9994,18)</f>
        <v>41.36</v>
      </c>
    </row>
    <row r="188" spans="1:18" x14ac:dyDescent="0.55000000000000004">
      <c r="A188" s="18" t="s">
        <v>165</v>
      </c>
      <c r="B188" s="19" t="str">
        <f>VLOOKUP($A188,'MG Universe'!$A$2:$R$9994,2)</f>
        <v>Twenty-First Century Fox Inc</v>
      </c>
      <c r="C188" s="19" t="str">
        <f>VLOOKUP($A188,'MG Universe'!$A$2:$R$9994,3)</f>
        <v>B</v>
      </c>
      <c r="D188" s="19" t="str">
        <f>VLOOKUP($A188,'MG Universe'!$A$2:$R$9994,4)</f>
        <v>D</v>
      </c>
      <c r="E188" s="19" t="str">
        <f>VLOOKUP($A188,'MG Universe'!$A$2:$R$9994,5)</f>
        <v>U</v>
      </c>
      <c r="F188" s="20" t="str">
        <f>VLOOKUP($A188,'MG Universe'!$A$2:$R$9994,6)</f>
        <v>DU</v>
      </c>
      <c r="G188" s="103">
        <f>VLOOKUP($A188,'MG Universe'!$A$2:$R$9994,7)</f>
        <v>42402</v>
      </c>
      <c r="H188" s="22">
        <f>VLOOKUP($A188,'MG Universe'!$A$2:$R$9994,8)</f>
        <v>93.68</v>
      </c>
      <c r="I188" s="22">
        <f>VLOOKUP($A188,'MG Universe'!$A$2:$R$9994,9)</f>
        <v>27.59</v>
      </c>
      <c r="J188" s="23">
        <f>VLOOKUP($A188,'MG Universe'!$A$2:$R$9994,10)</f>
        <v>0.29449999999999998</v>
      </c>
      <c r="K188" s="105">
        <f>VLOOKUP($A188,'MG Universe'!$A$2:$R$9994,11)</f>
        <v>11.35</v>
      </c>
      <c r="L188" s="23">
        <f>VLOOKUP($A188,'MG Universe'!$A$2:$R$9994,12)</f>
        <v>1.09E-2</v>
      </c>
      <c r="M188" s="106">
        <f>VLOOKUP($A188,'MG Universe'!$A$2:$R$9994,13)</f>
        <v>1.3</v>
      </c>
      <c r="N188" s="107">
        <f>VLOOKUP($A188,'MG Universe'!$A$2:$R$9994,14)</f>
        <v>2.17</v>
      </c>
      <c r="O188" s="22">
        <f>VLOOKUP($A188,'MG Universe'!$A$2:$R$9994,15)</f>
        <v>-8.7100000000000009</v>
      </c>
      <c r="P188" s="23">
        <f>VLOOKUP($A188,'MG Universe'!$A$2:$R$9994,16)</f>
        <v>1.43E-2</v>
      </c>
      <c r="Q188" s="109">
        <f>VLOOKUP($A188,'MG Universe'!$A$2:$R$9994,17)</f>
        <v>3</v>
      </c>
      <c r="R188" s="22">
        <f>VLOOKUP($A188,'MG Universe'!$A$2:$R$9994,18)</f>
        <v>16.84</v>
      </c>
    </row>
    <row r="189" spans="1:18" x14ac:dyDescent="0.55000000000000004">
      <c r="A189" s="18" t="s">
        <v>1083</v>
      </c>
      <c r="B189" s="19" t="str">
        <f>VLOOKUP($A189,'MG Universe'!$A$2:$R$9994,2)</f>
        <v>First Solar, Inc.</v>
      </c>
      <c r="C189" s="19" t="str">
        <f>VLOOKUP($A189,'MG Universe'!$A$2:$R$9994,3)</f>
        <v>F</v>
      </c>
      <c r="D189" s="19" t="str">
        <f>VLOOKUP($A189,'MG Universe'!$A$2:$R$9994,4)</f>
        <v>S</v>
      </c>
      <c r="E189" s="19" t="str">
        <f>VLOOKUP($A189,'MG Universe'!$A$2:$R$9994,5)</f>
        <v>O</v>
      </c>
      <c r="F189" s="20" t="str">
        <f>VLOOKUP($A189,'MG Universe'!$A$2:$R$9994,6)</f>
        <v>SO</v>
      </c>
      <c r="G189" s="103">
        <f>VLOOKUP($A189,'MG Universe'!$A$2:$R$9994,7)</f>
        <v>42311</v>
      </c>
      <c r="H189" s="22">
        <f>VLOOKUP($A189,'MG Universe'!$A$2:$R$9994,8)</f>
        <v>15.97</v>
      </c>
      <c r="I189" s="22">
        <f>VLOOKUP($A189,'MG Universe'!$A$2:$R$9994,9)</f>
        <v>69.14</v>
      </c>
      <c r="J189" s="23">
        <f>VLOOKUP($A189,'MG Universe'!$A$2:$R$9994,10)</f>
        <v>4.3293999999999997</v>
      </c>
      <c r="K189" s="105">
        <f>VLOOKUP($A189,'MG Universe'!$A$2:$R$9994,11)</f>
        <v>35.64</v>
      </c>
      <c r="L189" s="23" t="str">
        <f>VLOOKUP($A189,'MG Universe'!$A$2:$R$9994,12)</f>
        <v>N/A</v>
      </c>
      <c r="M189" s="106">
        <f>VLOOKUP($A189,'MG Universe'!$A$2:$R$9994,13)</f>
        <v>2</v>
      </c>
      <c r="N189" s="107">
        <f>VLOOKUP($A189,'MG Universe'!$A$2:$R$9994,14)</f>
        <v>3.65</v>
      </c>
      <c r="O189" s="22">
        <f>VLOOKUP($A189,'MG Universe'!$A$2:$R$9994,15)</f>
        <v>15.97</v>
      </c>
      <c r="P189" s="23">
        <f>VLOOKUP($A189,'MG Universe'!$A$2:$R$9994,16)</f>
        <v>0.13569999999999999</v>
      </c>
      <c r="Q189" s="109">
        <f>VLOOKUP($A189,'MG Universe'!$A$2:$R$9994,17)</f>
        <v>0</v>
      </c>
      <c r="R189" s="22">
        <f>VLOOKUP($A189,'MG Universe'!$A$2:$R$9994,18)</f>
        <v>34.770000000000003</v>
      </c>
    </row>
    <row r="190" spans="1:18" x14ac:dyDescent="0.55000000000000004">
      <c r="A190" s="18" t="s">
        <v>241</v>
      </c>
      <c r="B190" s="19" t="str">
        <f>VLOOKUP($A190,'MG Universe'!$A$2:$R$9994,2)</f>
        <v>FMC Technologies, Inc.</v>
      </c>
      <c r="C190" s="19" t="str">
        <f>VLOOKUP($A190,'MG Universe'!$A$2:$R$9994,3)</f>
        <v>B-</v>
      </c>
      <c r="D190" s="19" t="str">
        <f>VLOOKUP($A190,'MG Universe'!$A$2:$R$9994,4)</f>
        <v>E</v>
      </c>
      <c r="E190" s="19" t="str">
        <f>VLOOKUP($A190,'MG Universe'!$A$2:$R$9994,5)</f>
        <v>U</v>
      </c>
      <c r="F190" s="20" t="str">
        <f>VLOOKUP($A190,'MG Universe'!$A$2:$R$9994,6)</f>
        <v>EU</v>
      </c>
      <c r="G190" s="103">
        <f>VLOOKUP($A190,'MG Universe'!$A$2:$R$9994,7)</f>
        <v>42319</v>
      </c>
      <c r="H190" s="22">
        <f>VLOOKUP($A190,'MG Universe'!$A$2:$R$9994,8)</f>
        <v>46.88</v>
      </c>
      <c r="I190" s="22">
        <f>VLOOKUP($A190,'MG Universe'!$A$2:$R$9994,9)</f>
        <v>25.77</v>
      </c>
      <c r="J190" s="23">
        <f>VLOOKUP($A190,'MG Universe'!$A$2:$R$9994,10)</f>
        <v>0.54969999999999997</v>
      </c>
      <c r="K190" s="105">
        <f>VLOOKUP($A190,'MG Universe'!$A$2:$R$9994,11)</f>
        <v>11.93</v>
      </c>
      <c r="L190" s="23" t="str">
        <f>VLOOKUP($A190,'MG Universe'!$A$2:$R$9994,12)</f>
        <v>N/A</v>
      </c>
      <c r="M190" s="106">
        <f>VLOOKUP($A190,'MG Universe'!$A$2:$R$9994,13)</f>
        <v>1.1000000000000001</v>
      </c>
      <c r="N190" s="107">
        <f>VLOOKUP($A190,'MG Universe'!$A$2:$R$9994,14)</f>
        <v>1.77</v>
      </c>
      <c r="O190" s="22">
        <f>VLOOKUP($A190,'MG Universe'!$A$2:$R$9994,15)</f>
        <v>-0.04</v>
      </c>
      <c r="P190" s="23">
        <f>VLOOKUP($A190,'MG Universe'!$A$2:$R$9994,16)</f>
        <v>1.72E-2</v>
      </c>
      <c r="Q190" s="109">
        <f>VLOOKUP($A190,'MG Universe'!$A$2:$R$9994,17)</f>
        <v>0</v>
      </c>
      <c r="R190" s="22">
        <f>VLOOKUP($A190,'MG Universe'!$A$2:$R$9994,18)</f>
        <v>21.26</v>
      </c>
    </row>
    <row r="191" spans="1:18" x14ac:dyDescent="0.55000000000000004">
      <c r="A191" s="18" t="s">
        <v>766</v>
      </c>
      <c r="B191" s="19" t="str">
        <f>VLOOKUP($A191,'MG Universe'!$A$2:$R$9994,2)</f>
        <v>Frontier Communications Corp</v>
      </c>
      <c r="C191" s="19" t="str">
        <f>VLOOKUP($A191,'MG Universe'!$A$2:$R$9994,3)</f>
        <v>D</v>
      </c>
      <c r="D191" s="19" t="str">
        <f>VLOOKUP($A191,'MG Universe'!$A$2:$R$9994,4)</f>
        <v>S</v>
      </c>
      <c r="E191" s="19" t="str">
        <f>VLOOKUP($A191,'MG Universe'!$A$2:$R$9994,5)</f>
        <v>O</v>
      </c>
      <c r="F191" s="20" t="str">
        <f>VLOOKUP($A191,'MG Universe'!$A$2:$R$9994,6)</f>
        <v>SO</v>
      </c>
      <c r="G191" s="103">
        <f>VLOOKUP($A191,'MG Universe'!$A$2:$R$9994,7)</f>
        <v>42324</v>
      </c>
      <c r="H191" s="22">
        <f>VLOOKUP($A191,'MG Universe'!$A$2:$R$9994,8)</f>
        <v>0</v>
      </c>
      <c r="I191" s="22">
        <f>VLOOKUP($A191,'MG Universe'!$A$2:$R$9994,9)</f>
        <v>5.63</v>
      </c>
      <c r="J191" s="23" t="str">
        <f>VLOOKUP($A191,'MG Universe'!$A$2:$R$9994,10)</f>
        <v>N/A</v>
      </c>
      <c r="K191" s="105">
        <f>VLOOKUP($A191,'MG Universe'!$A$2:$R$9994,11)</f>
        <v>563</v>
      </c>
      <c r="L191" s="23">
        <f>VLOOKUP($A191,'MG Universe'!$A$2:$R$9994,12)</f>
        <v>7.46E-2</v>
      </c>
      <c r="M191" s="106">
        <f>VLOOKUP($A191,'MG Universe'!$A$2:$R$9994,13)</f>
        <v>0.7</v>
      </c>
      <c r="N191" s="107">
        <f>VLOOKUP($A191,'MG Universe'!$A$2:$R$9994,14)</f>
        <v>7.14</v>
      </c>
      <c r="O191" s="22">
        <f>VLOOKUP($A191,'MG Universe'!$A$2:$R$9994,15)</f>
        <v>-9.74</v>
      </c>
      <c r="P191" s="23">
        <f>VLOOKUP($A191,'MG Universe'!$A$2:$R$9994,16)</f>
        <v>2.7725</v>
      </c>
      <c r="Q191" s="109">
        <f>VLOOKUP($A191,'MG Universe'!$A$2:$R$9994,17)</f>
        <v>1</v>
      </c>
      <c r="R191" s="22" t="str">
        <f>VLOOKUP($A191,'MG Universe'!$A$2:$R$9994,18)</f>
        <v>N/A</v>
      </c>
    </row>
    <row r="192" spans="1:18" x14ac:dyDescent="0.55000000000000004">
      <c r="A192" s="18" t="s">
        <v>768</v>
      </c>
      <c r="B192" s="19" t="str">
        <f>VLOOKUP($A192,'MG Universe'!$A$2:$R$9994,2)</f>
        <v>AGL Resources Inc.</v>
      </c>
      <c r="C192" s="19" t="str">
        <f>VLOOKUP($A192,'MG Universe'!$A$2:$R$9994,3)</f>
        <v>D</v>
      </c>
      <c r="D192" s="19" t="str">
        <f>VLOOKUP($A192,'MG Universe'!$A$2:$R$9994,4)</f>
        <v>S</v>
      </c>
      <c r="E192" s="19" t="str">
        <f>VLOOKUP($A192,'MG Universe'!$A$2:$R$9994,5)</f>
        <v>O</v>
      </c>
      <c r="F192" s="20" t="str">
        <f>VLOOKUP($A192,'MG Universe'!$A$2:$R$9994,6)</f>
        <v>SO</v>
      </c>
      <c r="G192" s="103">
        <f>VLOOKUP($A192,'MG Universe'!$A$2:$R$9994,7)</f>
        <v>42010</v>
      </c>
      <c r="H192" s="22">
        <f>VLOOKUP($A192,'MG Universe'!$A$2:$R$9994,8)</f>
        <v>20.93</v>
      </c>
      <c r="I192" s="22">
        <f>VLOOKUP($A192,'MG Universe'!$A$2:$R$9994,9)</f>
        <v>64.8</v>
      </c>
      <c r="J192" s="23">
        <f>VLOOKUP($A192,'MG Universe'!$A$2:$R$9994,10)</f>
        <v>3.0960000000000001</v>
      </c>
      <c r="K192" s="105">
        <f>VLOOKUP($A192,'MG Universe'!$A$2:$R$9994,11)</f>
        <v>23.23</v>
      </c>
      <c r="L192" s="23">
        <f>VLOOKUP($A192,'MG Universe'!$A$2:$R$9994,12)</f>
        <v>3.27E-2</v>
      </c>
      <c r="M192" s="106">
        <f>VLOOKUP($A192,'MG Universe'!$A$2:$R$9994,13)</f>
        <v>-0.1</v>
      </c>
      <c r="N192" s="107">
        <f>VLOOKUP($A192,'MG Universe'!$A$2:$R$9994,14)</f>
        <v>0.85</v>
      </c>
      <c r="O192" s="22">
        <f>VLOOKUP($A192,'MG Universe'!$A$2:$R$9994,15)</f>
        <v>-67.84</v>
      </c>
      <c r="P192" s="23">
        <f>VLOOKUP($A192,'MG Universe'!$A$2:$R$9994,16)</f>
        <v>7.3599999999999999E-2</v>
      </c>
      <c r="Q192" s="109">
        <f>VLOOKUP($A192,'MG Universe'!$A$2:$R$9994,17)</f>
        <v>0</v>
      </c>
      <c r="R192" s="22">
        <f>VLOOKUP($A192,'MG Universe'!$A$2:$R$9994,18)</f>
        <v>0</v>
      </c>
    </row>
    <row r="193" spans="1:18" x14ac:dyDescent="0.55000000000000004">
      <c r="A193" s="18" t="s">
        <v>1157</v>
      </c>
      <c r="B193" s="19" t="str">
        <f>VLOOKUP($A193,'MG Universe'!$A$2:$R$9994,2)</f>
        <v>AGL Resources Inc.</v>
      </c>
      <c r="C193" s="19" t="str">
        <f>VLOOKUP($A193,'MG Universe'!$A$2:$R$9994,3)</f>
        <v>D</v>
      </c>
      <c r="D193" s="19" t="str">
        <f>VLOOKUP($A193,'MG Universe'!$A$2:$R$9994,4)</f>
        <v>S</v>
      </c>
      <c r="E193" s="19" t="str">
        <f>VLOOKUP($A193,'MG Universe'!$A$2:$R$9994,5)</f>
        <v>O</v>
      </c>
      <c r="F193" s="20" t="str">
        <f>VLOOKUP($A193,'MG Universe'!$A$2:$R$9994,6)</f>
        <v>SO</v>
      </c>
      <c r="G193" s="103">
        <f>VLOOKUP($A193,'MG Universe'!$A$2:$R$9994,7)</f>
        <v>42010</v>
      </c>
      <c r="H193" s="22">
        <f>VLOOKUP($A193,'MG Universe'!$A$2:$R$9994,8)</f>
        <v>20.93</v>
      </c>
      <c r="I193" s="22">
        <f>VLOOKUP($A193,'MG Universe'!$A$2:$R$9994,9)</f>
        <v>64.8</v>
      </c>
      <c r="J193" s="23">
        <f>VLOOKUP($A193,'MG Universe'!$A$2:$R$9994,10)</f>
        <v>3.0960000000000001</v>
      </c>
      <c r="K193" s="105">
        <f>VLOOKUP($A193,'MG Universe'!$A$2:$R$9994,11)</f>
        <v>23.23</v>
      </c>
      <c r="L193" s="23">
        <f>VLOOKUP($A193,'MG Universe'!$A$2:$R$9994,12)</f>
        <v>3.27E-2</v>
      </c>
      <c r="M193" s="106">
        <f>VLOOKUP($A193,'MG Universe'!$A$2:$R$9994,13)</f>
        <v>-0.1</v>
      </c>
      <c r="N193" s="107">
        <f>VLOOKUP($A193,'MG Universe'!$A$2:$R$9994,14)</f>
        <v>0.85</v>
      </c>
      <c r="O193" s="22">
        <f>VLOOKUP($A193,'MG Universe'!$A$2:$R$9994,15)</f>
        <v>-67.84</v>
      </c>
      <c r="P193" s="23">
        <f>VLOOKUP($A193,'MG Universe'!$A$2:$R$9994,16)</f>
        <v>7.3599999999999999E-2</v>
      </c>
      <c r="Q193" s="109">
        <f>VLOOKUP($A193,'MG Universe'!$A$2:$R$9994,17)</f>
        <v>0</v>
      </c>
      <c r="R193" s="22">
        <f>VLOOKUP($A193,'MG Universe'!$A$2:$R$9994,18)</f>
        <v>0</v>
      </c>
    </row>
    <row r="194" spans="1:18" x14ac:dyDescent="0.55000000000000004">
      <c r="A194" s="18" t="s">
        <v>770</v>
      </c>
      <c r="B194" s="19" t="str">
        <f>VLOOKUP($A194,'MG Universe'!$A$2:$R$9994,2)</f>
        <v>General Dynamics Corporation</v>
      </c>
      <c r="C194" s="19" t="str">
        <f>VLOOKUP($A194,'MG Universe'!$A$2:$R$9994,3)</f>
        <v>D</v>
      </c>
      <c r="D194" s="19" t="str">
        <f>VLOOKUP($A194,'MG Universe'!$A$2:$R$9994,4)</f>
        <v>S</v>
      </c>
      <c r="E194" s="19" t="str">
        <f>VLOOKUP($A194,'MG Universe'!$A$2:$R$9994,5)</f>
        <v>O</v>
      </c>
      <c r="F194" s="20" t="str">
        <f>VLOOKUP($A194,'MG Universe'!$A$2:$R$9994,6)</f>
        <v>SO</v>
      </c>
      <c r="G194" s="103">
        <f>VLOOKUP($A194,'MG Universe'!$A$2:$R$9994,7)</f>
        <v>42376</v>
      </c>
      <c r="H194" s="22">
        <f>VLOOKUP($A194,'MG Universe'!$A$2:$R$9994,8)</f>
        <v>59.45</v>
      </c>
      <c r="I194" s="22">
        <f>VLOOKUP($A194,'MG Universe'!$A$2:$R$9994,9)</f>
        <v>135.58000000000001</v>
      </c>
      <c r="J194" s="23">
        <f>VLOOKUP($A194,'MG Universe'!$A$2:$R$9994,10)</f>
        <v>2.2806000000000002</v>
      </c>
      <c r="K194" s="105">
        <f>VLOOKUP($A194,'MG Universe'!$A$2:$R$9994,11)</f>
        <v>20.51</v>
      </c>
      <c r="L194" s="23">
        <f>VLOOKUP($A194,'MG Universe'!$A$2:$R$9994,12)</f>
        <v>2.0400000000000001E-2</v>
      </c>
      <c r="M194" s="106">
        <f>VLOOKUP($A194,'MG Universe'!$A$2:$R$9994,13)</f>
        <v>0.9</v>
      </c>
      <c r="N194" s="107">
        <f>VLOOKUP($A194,'MG Universe'!$A$2:$R$9994,14)</f>
        <v>1.1599999999999999</v>
      </c>
      <c r="O194" s="22">
        <f>VLOOKUP($A194,'MG Universe'!$A$2:$R$9994,15)</f>
        <v>-21.61</v>
      </c>
      <c r="P194" s="23">
        <f>VLOOKUP($A194,'MG Universe'!$A$2:$R$9994,16)</f>
        <v>6.0100000000000001E-2</v>
      </c>
      <c r="Q194" s="109">
        <f>VLOOKUP($A194,'MG Universe'!$A$2:$R$9994,17)</f>
        <v>2</v>
      </c>
      <c r="R194" s="22">
        <f>VLOOKUP($A194,'MG Universe'!$A$2:$R$9994,18)</f>
        <v>82.41</v>
      </c>
    </row>
    <row r="195" spans="1:18" x14ac:dyDescent="0.55000000000000004">
      <c r="A195" s="18" t="s">
        <v>772</v>
      </c>
      <c r="B195" s="19" t="str">
        <f>VLOOKUP($A195,'MG Universe'!$A$2:$R$9994,2)</f>
        <v>General Electric Company</v>
      </c>
      <c r="C195" s="19" t="str">
        <f>VLOOKUP($A195,'MG Universe'!$A$2:$R$9994,3)</f>
        <v>D</v>
      </c>
      <c r="D195" s="19" t="str">
        <f>VLOOKUP($A195,'MG Universe'!$A$2:$R$9994,4)</f>
        <v>S</v>
      </c>
      <c r="E195" s="19" t="str">
        <f>VLOOKUP($A195,'MG Universe'!$A$2:$R$9994,5)</f>
        <v>O</v>
      </c>
      <c r="F195" s="20" t="str">
        <f>VLOOKUP($A195,'MG Universe'!$A$2:$R$9994,6)</f>
        <v>SO</v>
      </c>
      <c r="G195" s="103">
        <f>VLOOKUP($A195,'MG Universe'!$A$2:$R$9994,7)</f>
        <v>42065</v>
      </c>
      <c r="H195" s="22">
        <f>VLOOKUP($A195,'MG Universe'!$A$2:$R$9994,8)</f>
        <v>9.65</v>
      </c>
      <c r="I195" s="22">
        <f>VLOOKUP($A195,'MG Universe'!$A$2:$R$9994,9)</f>
        <v>30.17</v>
      </c>
      <c r="J195" s="23">
        <f>VLOOKUP($A195,'MG Universe'!$A$2:$R$9994,10)</f>
        <v>3.1263999999999998</v>
      </c>
      <c r="K195" s="105">
        <f>VLOOKUP($A195,'MG Universe'!$A$2:$R$9994,11)</f>
        <v>22.68</v>
      </c>
      <c r="L195" s="23">
        <f>VLOOKUP($A195,'MG Universe'!$A$2:$R$9994,12)</f>
        <v>3.0499999999999999E-2</v>
      </c>
      <c r="M195" s="106">
        <f>VLOOKUP($A195,'MG Universe'!$A$2:$R$9994,13)</f>
        <v>1.2</v>
      </c>
      <c r="N195" s="107">
        <f>VLOOKUP($A195,'MG Universe'!$A$2:$R$9994,14)</f>
        <v>1.1100000000000001</v>
      </c>
      <c r="O195" s="22">
        <f>VLOOKUP($A195,'MG Universe'!$A$2:$R$9994,15)</f>
        <v>-11.48</v>
      </c>
      <c r="P195" s="23">
        <f>VLOOKUP($A195,'MG Universe'!$A$2:$R$9994,16)</f>
        <v>7.0900000000000005E-2</v>
      </c>
      <c r="Q195" s="109">
        <f>VLOOKUP($A195,'MG Universe'!$A$2:$R$9994,17)</f>
        <v>0</v>
      </c>
      <c r="R195" s="22">
        <f>VLOOKUP($A195,'MG Universe'!$A$2:$R$9994,18)</f>
        <v>0</v>
      </c>
    </row>
    <row r="196" spans="1:18" x14ac:dyDescent="0.55000000000000004">
      <c r="A196" s="18" t="s">
        <v>539</v>
      </c>
      <c r="B196" s="19" t="str">
        <f>VLOOKUP($A196,'MG Universe'!$A$2:$R$9994,2)</f>
        <v>General Growth Properties Inc</v>
      </c>
      <c r="C196" s="19" t="str">
        <f>VLOOKUP($A196,'MG Universe'!$A$2:$R$9994,3)</f>
        <v>C-</v>
      </c>
      <c r="D196" s="19" t="str">
        <f>VLOOKUP($A196,'MG Universe'!$A$2:$R$9994,4)</f>
        <v>S</v>
      </c>
      <c r="E196" s="19" t="str">
        <f>VLOOKUP($A196,'MG Universe'!$A$2:$R$9994,5)</f>
        <v>U</v>
      </c>
      <c r="F196" s="20" t="str">
        <f>VLOOKUP($A196,'MG Universe'!$A$2:$R$9994,6)</f>
        <v>SU</v>
      </c>
      <c r="G196" s="103">
        <f>VLOOKUP($A196,'MG Universe'!$A$2:$R$9994,7)</f>
        <v>42056</v>
      </c>
      <c r="H196" s="22">
        <f>VLOOKUP($A196,'MG Universe'!$A$2:$R$9994,8)</f>
        <v>-1.76</v>
      </c>
      <c r="I196" s="22">
        <f>VLOOKUP($A196,'MG Universe'!$A$2:$R$9994,9)</f>
        <v>28.5</v>
      </c>
      <c r="J196" s="23">
        <f>VLOOKUP($A196,'MG Universe'!$A$2:$R$9994,10)</f>
        <v>-16.193200000000001</v>
      </c>
      <c r="K196" s="105" t="str">
        <f>VLOOKUP($A196,'MG Universe'!$A$2:$R$9994,11)</f>
        <v>N/A</v>
      </c>
      <c r="L196" s="23">
        <f>VLOOKUP($A196,'MG Universe'!$A$2:$R$9994,12)</f>
        <v>2.6700000000000002E-2</v>
      </c>
      <c r="M196" s="106">
        <f>VLOOKUP($A196,'MG Universe'!$A$2:$R$9994,13)</f>
        <v>1.2</v>
      </c>
      <c r="N196" s="107">
        <f>VLOOKUP($A196,'MG Universe'!$A$2:$R$9994,14)</f>
        <v>0.95</v>
      </c>
      <c r="O196" s="22">
        <f>VLOOKUP($A196,'MG Universe'!$A$2:$R$9994,15)</f>
        <v>-17.63</v>
      </c>
      <c r="P196" s="23">
        <f>VLOOKUP($A196,'MG Universe'!$A$2:$R$9994,16)</f>
        <v>-2.8925000000000001</v>
      </c>
      <c r="Q196" s="109">
        <f>VLOOKUP($A196,'MG Universe'!$A$2:$R$9994,17)</f>
        <v>0</v>
      </c>
      <c r="R196" s="22">
        <f>VLOOKUP($A196,'MG Universe'!$A$2:$R$9994,18)</f>
        <v>0</v>
      </c>
    </row>
    <row r="197" spans="1:18" x14ac:dyDescent="0.55000000000000004">
      <c r="A197" s="18" t="s">
        <v>541</v>
      </c>
      <c r="B197" s="19" t="str">
        <f>VLOOKUP($A197,'MG Universe'!$A$2:$R$9994,2)</f>
        <v>Gilead Sciences, Inc.</v>
      </c>
      <c r="C197" s="19" t="str">
        <f>VLOOKUP($A197,'MG Universe'!$A$2:$R$9994,3)</f>
        <v>C-</v>
      </c>
      <c r="D197" s="19" t="str">
        <f>VLOOKUP($A197,'MG Universe'!$A$2:$R$9994,4)</f>
        <v>S</v>
      </c>
      <c r="E197" s="19" t="str">
        <f>VLOOKUP($A197,'MG Universe'!$A$2:$R$9994,5)</f>
        <v>U</v>
      </c>
      <c r="F197" s="20" t="str">
        <f>VLOOKUP($A197,'MG Universe'!$A$2:$R$9994,6)</f>
        <v>SU</v>
      </c>
      <c r="G197" s="103">
        <f>VLOOKUP($A197,'MG Universe'!$A$2:$R$9994,7)</f>
        <v>42030</v>
      </c>
      <c r="H197" s="22">
        <f>VLOOKUP($A197,'MG Universe'!$A$2:$R$9994,8)</f>
        <v>140.16999999999999</v>
      </c>
      <c r="I197" s="22">
        <f>VLOOKUP($A197,'MG Universe'!$A$2:$R$9994,9)</f>
        <v>88.8</v>
      </c>
      <c r="J197" s="23">
        <f>VLOOKUP($A197,'MG Universe'!$A$2:$R$9994,10)</f>
        <v>0.63349999999999995</v>
      </c>
      <c r="K197" s="105">
        <f>VLOOKUP($A197,'MG Universe'!$A$2:$R$9994,11)</f>
        <v>24.4</v>
      </c>
      <c r="L197" s="23">
        <f>VLOOKUP($A197,'MG Universe'!$A$2:$R$9994,12)</f>
        <v>1.9400000000000001E-2</v>
      </c>
      <c r="M197" s="106">
        <f>VLOOKUP($A197,'MG Universe'!$A$2:$R$9994,13)</f>
        <v>1.1000000000000001</v>
      </c>
      <c r="N197" s="107">
        <f>VLOOKUP($A197,'MG Universe'!$A$2:$R$9994,14)</f>
        <v>2.0699999999999998</v>
      </c>
      <c r="O197" s="22">
        <f>VLOOKUP($A197,'MG Universe'!$A$2:$R$9994,15)</f>
        <v>-1.66</v>
      </c>
      <c r="P197" s="23">
        <f>VLOOKUP($A197,'MG Universe'!$A$2:$R$9994,16)</f>
        <v>7.9500000000000001E-2</v>
      </c>
      <c r="Q197" s="109">
        <f>VLOOKUP($A197,'MG Universe'!$A$2:$R$9994,17)</f>
        <v>0</v>
      </c>
      <c r="R197" s="22">
        <f>VLOOKUP($A197,'MG Universe'!$A$2:$R$9994,18)</f>
        <v>0</v>
      </c>
    </row>
    <row r="198" spans="1:18" x14ac:dyDescent="0.55000000000000004">
      <c r="A198" s="18" t="s">
        <v>890</v>
      </c>
      <c r="B198" s="19" t="str">
        <f>VLOOKUP($A198,'MG Universe'!$A$2:$R$9994,2)</f>
        <v>General Mills, Inc.</v>
      </c>
      <c r="C198" s="19" t="str">
        <f>VLOOKUP($A198,'MG Universe'!$A$2:$R$9994,3)</f>
        <v>D+</v>
      </c>
      <c r="D198" s="19" t="str">
        <f>VLOOKUP($A198,'MG Universe'!$A$2:$R$9994,4)</f>
        <v>S</v>
      </c>
      <c r="E198" s="19" t="str">
        <f>VLOOKUP($A198,'MG Universe'!$A$2:$R$9994,5)</f>
        <v>O</v>
      </c>
      <c r="F198" s="20" t="str">
        <f>VLOOKUP($A198,'MG Universe'!$A$2:$R$9994,6)</f>
        <v>SO</v>
      </c>
      <c r="G198" s="103">
        <f>VLOOKUP($A198,'MG Universe'!$A$2:$R$9994,7)</f>
        <v>42097</v>
      </c>
      <c r="H198" s="22">
        <f>VLOOKUP($A198,'MG Universe'!$A$2:$R$9994,8)</f>
        <v>34.47</v>
      </c>
      <c r="I198" s="22">
        <f>VLOOKUP($A198,'MG Universe'!$A$2:$R$9994,9)</f>
        <v>59.53</v>
      </c>
      <c r="J198" s="23">
        <f>VLOOKUP($A198,'MG Universe'!$A$2:$R$9994,10)</f>
        <v>1.7270000000000001</v>
      </c>
      <c r="K198" s="105">
        <f>VLOOKUP($A198,'MG Universe'!$A$2:$R$9994,11)</f>
        <v>22.98</v>
      </c>
      <c r="L198" s="23">
        <f>VLOOKUP($A198,'MG Universe'!$A$2:$R$9994,12)</f>
        <v>2.9600000000000001E-2</v>
      </c>
      <c r="M198" s="106">
        <f>VLOOKUP($A198,'MG Universe'!$A$2:$R$9994,13)</f>
        <v>0.4</v>
      </c>
      <c r="N198" s="107">
        <f>VLOOKUP($A198,'MG Universe'!$A$2:$R$9994,14)</f>
        <v>0.67</v>
      </c>
      <c r="O198" s="22">
        <f>VLOOKUP($A198,'MG Universe'!$A$2:$R$9994,15)</f>
        <v>-21.96</v>
      </c>
      <c r="P198" s="23">
        <f>VLOOKUP($A198,'MG Universe'!$A$2:$R$9994,16)</f>
        <v>7.2400000000000006E-2</v>
      </c>
      <c r="Q198" s="109">
        <f>VLOOKUP($A198,'MG Universe'!$A$2:$R$9994,17)</f>
        <v>0</v>
      </c>
      <c r="R198" s="22">
        <f>VLOOKUP($A198,'MG Universe'!$A$2:$R$9994,18)</f>
        <v>0</v>
      </c>
    </row>
    <row r="199" spans="1:18" x14ac:dyDescent="0.55000000000000004">
      <c r="A199" s="18" t="s">
        <v>167</v>
      </c>
      <c r="B199" s="19" t="str">
        <f>VLOOKUP($A199,'MG Universe'!$A$2:$R$9994,2)</f>
        <v>Corning Incorporated</v>
      </c>
      <c r="C199" s="19" t="str">
        <f>VLOOKUP($A199,'MG Universe'!$A$2:$R$9994,3)</f>
        <v>B</v>
      </c>
      <c r="D199" s="19" t="str">
        <f>VLOOKUP($A199,'MG Universe'!$A$2:$R$9994,4)</f>
        <v>E</v>
      </c>
      <c r="E199" s="19" t="str">
        <f>VLOOKUP($A199,'MG Universe'!$A$2:$R$9994,5)</f>
        <v>O</v>
      </c>
      <c r="F199" s="20" t="str">
        <f>VLOOKUP($A199,'MG Universe'!$A$2:$R$9994,6)</f>
        <v>EO</v>
      </c>
      <c r="G199" s="103">
        <f>VLOOKUP($A199,'MG Universe'!$A$2:$R$9994,7)</f>
        <v>42327</v>
      </c>
      <c r="H199" s="22">
        <f>VLOOKUP($A199,'MG Universe'!$A$2:$R$9994,8)</f>
        <v>0.28999999999999998</v>
      </c>
      <c r="I199" s="22">
        <f>VLOOKUP($A199,'MG Universe'!$A$2:$R$9994,9)</f>
        <v>18.8</v>
      </c>
      <c r="J199" s="23">
        <f>VLOOKUP($A199,'MG Universe'!$A$2:$R$9994,10)</f>
        <v>64.827600000000004</v>
      </c>
      <c r="K199" s="105">
        <f>VLOOKUP($A199,'MG Universe'!$A$2:$R$9994,11)</f>
        <v>13.93</v>
      </c>
      <c r="L199" s="23">
        <f>VLOOKUP($A199,'MG Universe'!$A$2:$R$9994,12)</f>
        <v>2.87E-2</v>
      </c>
      <c r="M199" s="106">
        <f>VLOOKUP($A199,'MG Universe'!$A$2:$R$9994,13)</f>
        <v>1.4</v>
      </c>
      <c r="N199" s="107">
        <f>VLOOKUP($A199,'MG Universe'!$A$2:$R$9994,14)</f>
        <v>4.71</v>
      </c>
      <c r="O199" s="22">
        <f>VLOOKUP($A199,'MG Universe'!$A$2:$R$9994,15)</f>
        <v>0.28999999999999998</v>
      </c>
      <c r="P199" s="23">
        <f>VLOOKUP($A199,'MG Universe'!$A$2:$R$9994,16)</f>
        <v>2.7099999999999999E-2</v>
      </c>
      <c r="Q199" s="109">
        <f>VLOOKUP($A199,'MG Universe'!$A$2:$R$9994,17)</f>
        <v>5</v>
      </c>
      <c r="R199" s="22">
        <f>VLOOKUP($A199,'MG Universe'!$A$2:$R$9994,18)</f>
        <v>18.97</v>
      </c>
    </row>
    <row r="200" spans="1:18" x14ac:dyDescent="0.55000000000000004">
      <c r="A200" s="18" t="s">
        <v>892</v>
      </c>
      <c r="B200" s="19" t="str">
        <f>VLOOKUP($A200,'MG Universe'!$A$2:$R$9994,2)</f>
        <v>General Motors Company</v>
      </c>
      <c r="C200" s="19" t="str">
        <f>VLOOKUP($A200,'MG Universe'!$A$2:$R$9994,3)</f>
        <v>D+</v>
      </c>
      <c r="D200" s="19" t="str">
        <f>VLOOKUP($A200,'MG Universe'!$A$2:$R$9994,4)</f>
        <v>S</v>
      </c>
      <c r="E200" s="19" t="str">
        <f>VLOOKUP($A200,'MG Universe'!$A$2:$R$9994,5)</f>
        <v>O</v>
      </c>
      <c r="F200" s="20" t="str">
        <f>VLOOKUP($A200,'MG Universe'!$A$2:$R$9994,6)</f>
        <v>SO</v>
      </c>
      <c r="G200" s="103">
        <f>VLOOKUP($A200,'MG Universe'!$A$2:$R$9994,7)</f>
        <v>42216</v>
      </c>
      <c r="H200" s="22">
        <f>VLOOKUP($A200,'MG Universe'!$A$2:$R$9994,8)</f>
        <v>0</v>
      </c>
      <c r="I200" s="22">
        <f>VLOOKUP($A200,'MG Universe'!$A$2:$R$9994,9)</f>
        <v>30.14</v>
      </c>
      <c r="J200" s="23" t="str">
        <f>VLOOKUP($A200,'MG Universe'!$A$2:$R$9994,10)</f>
        <v>N/A</v>
      </c>
      <c r="K200" s="105">
        <f>VLOOKUP($A200,'MG Universe'!$A$2:$R$9994,11)</f>
        <v>11.29</v>
      </c>
      <c r="L200" s="23">
        <f>VLOOKUP($A200,'MG Universe'!$A$2:$R$9994,12)</f>
        <v>5.04E-2</v>
      </c>
      <c r="M200" s="106">
        <f>VLOOKUP($A200,'MG Universe'!$A$2:$R$9994,13)</f>
        <v>1.7</v>
      </c>
      <c r="N200" s="107">
        <f>VLOOKUP($A200,'MG Universe'!$A$2:$R$9994,14)</f>
        <v>1.22</v>
      </c>
      <c r="O200" s="22">
        <f>VLOOKUP($A200,'MG Universe'!$A$2:$R$9994,15)</f>
        <v>-39.83</v>
      </c>
      <c r="P200" s="23">
        <f>VLOOKUP($A200,'MG Universe'!$A$2:$R$9994,16)</f>
        <v>1.3899999999999999E-2</v>
      </c>
      <c r="Q200" s="109">
        <f>VLOOKUP($A200,'MG Universe'!$A$2:$R$9994,17)</f>
        <v>0</v>
      </c>
      <c r="R200" s="22">
        <f>VLOOKUP($A200,'MG Universe'!$A$2:$R$9994,18)</f>
        <v>0</v>
      </c>
    </row>
    <row r="201" spans="1:18" x14ac:dyDescent="0.55000000000000004">
      <c r="A201" s="18" t="s">
        <v>668</v>
      </c>
      <c r="B201" s="19" t="str">
        <f>VLOOKUP($A201,'MG Universe'!$A$2:$R$9994,2)</f>
        <v>Keurig Green Mountain Inc</v>
      </c>
      <c r="C201" s="19" t="str">
        <f>VLOOKUP($A201,'MG Universe'!$A$2:$R$9994,3)</f>
        <v>C+</v>
      </c>
      <c r="D201" s="19" t="str">
        <f>VLOOKUP($A201,'MG Universe'!$A$2:$R$9994,4)</f>
        <v>E</v>
      </c>
      <c r="E201" s="19" t="str">
        <f>VLOOKUP($A201,'MG Universe'!$A$2:$R$9994,5)</f>
        <v>U</v>
      </c>
      <c r="F201" s="20" t="str">
        <f>VLOOKUP($A201,'MG Universe'!$A$2:$R$9994,6)</f>
        <v>EU</v>
      </c>
      <c r="G201" s="103">
        <f>VLOOKUP($A201,'MG Universe'!$A$2:$R$9994,7)</f>
        <v>42400</v>
      </c>
      <c r="H201" s="22">
        <f>VLOOKUP($A201,'MG Universe'!$A$2:$R$9994,8)</f>
        <v>124.82</v>
      </c>
      <c r="I201" s="22">
        <f>VLOOKUP($A201,'MG Universe'!$A$2:$R$9994,9)</f>
        <v>91.67</v>
      </c>
      <c r="J201" s="23">
        <f>VLOOKUP($A201,'MG Universe'!$A$2:$R$9994,10)</f>
        <v>0.73440000000000005</v>
      </c>
      <c r="K201" s="105">
        <f>VLOOKUP($A201,'MG Universe'!$A$2:$R$9994,11)</f>
        <v>28.29</v>
      </c>
      <c r="L201" s="23">
        <f>VLOOKUP($A201,'MG Universe'!$A$2:$R$9994,12)</f>
        <v>1.4200000000000001E-2</v>
      </c>
      <c r="M201" s="106">
        <f>VLOOKUP($A201,'MG Universe'!$A$2:$R$9994,13)</f>
        <v>0.6</v>
      </c>
      <c r="N201" s="107">
        <f>VLOOKUP($A201,'MG Universe'!$A$2:$R$9994,14)</f>
        <v>2.52</v>
      </c>
      <c r="O201" s="22">
        <f>VLOOKUP($A201,'MG Universe'!$A$2:$R$9994,15)</f>
        <v>1.45</v>
      </c>
      <c r="P201" s="23">
        <f>VLOOKUP($A201,'MG Universe'!$A$2:$R$9994,16)</f>
        <v>9.9000000000000005E-2</v>
      </c>
      <c r="Q201" s="109">
        <f>VLOOKUP($A201,'MG Universe'!$A$2:$R$9994,17)</f>
        <v>3</v>
      </c>
      <c r="R201" s="22">
        <f>VLOOKUP($A201,'MG Universe'!$A$2:$R$9994,18)</f>
        <v>35.96</v>
      </c>
    </row>
    <row r="202" spans="1:18" x14ac:dyDescent="0.55000000000000004">
      <c r="A202" s="18" t="s">
        <v>894</v>
      </c>
      <c r="B202" s="19" t="str">
        <f>VLOOKUP($A202,'MG Universe'!$A$2:$R$9994,2)</f>
        <v>GameStop Corp.</v>
      </c>
      <c r="C202" s="19" t="str">
        <f>VLOOKUP($A202,'MG Universe'!$A$2:$R$9994,3)</f>
        <v>D+</v>
      </c>
      <c r="D202" s="19" t="str">
        <f>VLOOKUP($A202,'MG Universe'!$A$2:$R$9994,4)</f>
        <v>S</v>
      </c>
      <c r="E202" s="19" t="str">
        <f>VLOOKUP($A202,'MG Universe'!$A$2:$R$9994,5)</f>
        <v>O</v>
      </c>
      <c r="F202" s="20" t="str">
        <f>VLOOKUP($A202,'MG Universe'!$A$2:$R$9994,6)</f>
        <v>SO</v>
      </c>
      <c r="G202" s="103">
        <f>VLOOKUP($A202,'MG Universe'!$A$2:$R$9994,7)</f>
        <v>42147</v>
      </c>
      <c r="H202" s="22">
        <f>VLOOKUP($A202,'MG Universe'!$A$2:$R$9994,8)</f>
        <v>10.94</v>
      </c>
      <c r="I202" s="22">
        <f>VLOOKUP($A202,'MG Universe'!$A$2:$R$9994,9)</f>
        <v>31.29</v>
      </c>
      <c r="J202" s="23">
        <f>VLOOKUP($A202,'MG Universe'!$A$2:$R$9994,10)</f>
        <v>2.8601000000000001</v>
      </c>
      <c r="K202" s="105">
        <f>VLOOKUP($A202,'MG Universe'!$A$2:$R$9994,11)</f>
        <v>15.41</v>
      </c>
      <c r="L202" s="23">
        <f>VLOOKUP($A202,'MG Universe'!$A$2:$R$9994,12)</f>
        <v>4.7300000000000002E-2</v>
      </c>
      <c r="M202" s="106">
        <f>VLOOKUP($A202,'MG Universe'!$A$2:$R$9994,13)</f>
        <v>1</v>
      </c>
      <c r="N202" s="107">
        <f>VLOOKUP($A202,'MG Universe'!$A$2:$R$9994,14)</f>
        <v>1.26</v>
      </c>
      <c r="O202" s="22">
        <f>VLOOKUP($A202,'MG Universe'!$A$2:$R$9994,15)</f>
        <v>-1.06</v>
      </c>
      <c r="P202" s="23">
        <f>VLOOKUP($A202,'MG Universe'!$A$2:$R$9994,16)</f>
        <v>3.4599999999999999E-2</v>
      </c>
      <c r="Q202" s="109">
        <f>VLOOKUP($A202,'MG Universe'!$A$2:$R$9994,17)</f>
        <v>0</v>
      </c>
      <c r="R202" s="22">
        <f>VLOOKUP($A202,'MG Universe'!$A$2:$R$9994,18)</f>
        <v>0</v>
      </c>
    </row>
    <row r="203" spans="1:18" x14ac:dyDescent="0.55000000000000004">
      <c r="A203" s="18" t="s">
        <v>1087</v>
      </c>
      <c r="B203" s="19" t="str">
        <f>VLOOKUP($A203,'MG Universe'!$A$2:$R$9994,2)</f>
        <v>Genworth Financial Inc</v>
      </c>
      <c r="C203" s="19" t="str">
        <f>VLOOKUP($A203,'MG Universe'!$A$2:$R$9994,3)</f>
        <v>F</v>
      </c>
      <c r="D203" s="19" t="str">
        <f>VLOOKUP($A203,'MG Universe'!$A$2:$R$9994,4)</f>
        <v>S</v>
      </c>
      <c r="E203" s="19" t="str">
        <f>VLOOKUP($A203,'MG Universe'!$A$2:$R$9994,5)</f>
        <v>O</v>
      </c>
      <c r="F203" s="20" t="str">
        <f>VLOOKUP($A203,'MG Universe'!$A$2:$R$9994,6)</f>
        <v>SO</v>
      </c>
      <c r="G203" s="103">
        <f>VLOOKUP($A203,'MG Universe'!$A$2:$R$9994,7)</f>
        <v>42157</v>
      </c>
      <c r="H203" s="22">
        <f>VLOOKUP($A203,'MG Universe'!$A$2:$R$9994,8)</f>
        <v>0</v>
      </c>
      <c r="I203" s="22">
        <f>VLOOKUP($A203,'MG Universe'!$A$2:$R$9994,9)</f>
        <v>2.48</v>
      </c>
      <c r="J203" s="23" t="str">
        <f>VLOOKUP($A203,'MG Universe'!$A$2:$R$9994,10)</f>
        <v>N/A</v>
      </c>
      <c r="K203" s="105" t="str">
        <f>VLOOKUP($A203,'MG Universe'!$A$2:$R$9994,11)</f>
        <v>N/A</v>
      </c>
      <c r="L203" s="23" t="str">
        <f>VLOOKUP($A203,'MG Universe'!$A$2:$R$9994,12)</f>
        <v>N/A</v>
      </c>
      <c r="M203" s="106">
        <f>VLOOKUP($A203,'MG Universe'!$A$2:$R$9994,13)</f>
        <v>2.4</v>
      </c>
      <c r="N203" s="107" t="str">
        <f>VLOOKUP($A203,'MG Universe'!$A$2:$R$9994,14)</f>
        <v>N/A</v>
      </c>
      <c r="O203" s="22" t="str">
        <f>VLOOKUP($A203,'MG Universe'!$A$2:$R$9994,15)</f>
        <v>N/A</v>
      </c>
      <c r="P203" s="23">
        <f>VLOOKUP($A203,'MG Universe'!$A$2:$R$9994,16)</f>
        <v>-0.35249999999999998</v>
      </c>
      <c r="Q203" s="109">
        <f>VLOOKUP($A203,'MG Universe'!$A$2:$R$9994,17)</f>
        <v>0</v>
      </c>
      <c r="R203" s="22">
        <f>VLOOKUP($A203,'MG Universe'!$A$2:$R$9994,18)</f>
        <v>0</v>
      </c>
    </row>
    <row r="204" spans="1:18" x14ac:dyDescent="0.55000000000000004">
      <c r="A204" s="18" t="s">
        <v>543</v>
      </c>
      <c r="B204" s="19" t="str">
        <f>VLOOKUP($A204,'MG Universe'!$A$2:$R$9994,2)</f>
        <v>Alphabet Inc</v>
      </c>
      <c r="C204" s="19" t="str">
        <f>VLOOKUP($A204,'MG Universe'!$A$2:$R$9994,3)</f>
        <v>C-</v>
      </c>
      <c r="D204" s="19" t="str">
        <f>VLOOKUP($A204,'MG Universe'!$A$2:$R$9994,4)</f>
        <v>E</v>
      </c>
      <c r="E204" s="19" t="str">
        <f>VLOOKUP($A204,'MG Universe'!$A$2:$R$9994,5)</f>
        <v>O</v>
      </c>
      <c r="F204" s="20" t="str">
        <f>VLOOKUP($A204,'MG Universe'!$A$2:$R$9994,6)</f>
        <v>EO</v>
      </c>
      <c r="G204" s="103">
        <f>VLOOKUP($A204,'MG Universe'!$A$2:$R$9994,7)</f>
        <v>42305</v>
      </c>
      <c r="H204" s="22">
        <f>VLOOKUP($A204,'MG Universe'!$A$2:$R$9994,8)</f>
        <v>460.16</v>
      </c>
      <c r="I204" s="22">
        <f>VLOOKUP($A204,'MG Universe'!$A$2:$R$9994,9)</f>
        <v>718.85</v>
      </c>
      <c r="J204" s="23">
        <f>VLOOKUP($A204,'MG Universe'!$A$2:$R$9994,10)</f>
        <v>1.5622</v>
      </c>
      <c r="K204" s="105">
        <f>VLOOKUP($A204,'MG Universe'!$A$2:$R$9994,11)</f>
        <v>39.11</v>
      </c>
      <c r="L204" s="23" t="str">
        <f>VLOOKUP($A204,'MG Universe'!$A$2:$R$9994,12)</f>
        <v>N/A</v>
      </c>
      <c r="M204" s="106" t="e">
        <f>VLOOKUP($A204,'MG Universe'!$A$2:$R$9994,13)</f>
        <v>#N/A</v>
      </c>
      <c r="N204" s="107">
        <f>VLOOKUP($A204,'MG Universe'!$A$2:$R$9994,14)</f>
        <v>4.7699999999999996</v>
      </c>
      <c r="O204" s="22">
        <f>VLOOKUP($A204,'MG Universe'!$A$2:$R$9994,15)</f>
        <v>87.62</v>
      </c>
      <c r="P204" s="23">
        <f>VLOOKUP($A204,'MG Universe'!$A$2:$R$9994,16)</f>
        <v>0.15310000000000001</v>
      </c>
      <c r="Q204" s="109">
        <f>VLOOKUP($A204,'MG Universe'!$A$2:$R$9994,17)</f>
        <v>0</v>
      </c>
      <c r="R204" s="22">
        <f>VLOOKUP($A204,'MG Universe'!$A$2:$R$9994,18)</f>
        <v>257.95</v>
      </c>
    </row>
    <row r="205" spans="1:18" x14ac:dyDescent="0.55000000000000004">
      <c r="A205" s="18" t="s">
        <v>545</v>
      </c>
      <c r="B205" s="19" t="str">
        <f>VLOOKUP($A205,'MG Universe'!$A$2:$R$9994,2)</f>
        <v>Alphabet Inc</v>
      </c>
      <c r="C205" s="19" t="str">
        <f>VLOOKUP($A205,'MG Universe'!$A$2:$R$9994,3)</f>
        <v>C-</v>
      </c>
      <c r="D205" s="19" t="str">
        <f>VLOOKUP($A205,'MG Universe'!$A$2:$R$9994,4)</f>
        <v>E</v>
      </c>
      <c r="E205" s="19" t="str">
        <f>VLOOKUP($A205,'MG Universe'!$A$2:$R$9994,5)</f>
        <v>O</v>
      </c>
      <c r="F205" s="20" t="str">
        <f>VLOOKUP($A205,'MG Universe'!$A$2:$R$9994,6)</f>
        <v>EO</v>
      </c>
      <c r="G205" s="103">
        <f>VLOOKUP($A205,'MG Universe'!$A$2:$R$9994,7)</f>
        <v>42305</v>
      </c>
      <c r="H205" s="22">
        <f>VLOOKUP($A205,'MG Universe'!$A$2:$R$9994,8)</f>
        <v>460.16</v>
      </c>
      <c r="I205" s="22">
        <f>VLOOKUP($A205,'MG Universe'!$A$2:$R$9994,9)</f>
        <v>739.48</v>
      </c>
      <c r="J205" s="23">
        <f>VLOOKUP($A205,'MG Universe'!$A$2:$R$9994,10)</f>
        <v>1.607</v>
      </c>
      <c r="K205" s="105">
        <f>VLOOKUP($A205,'MG Universe'!$A$2:$R$9994,11)</f>
        <v>40.229999999999997</v>
      </c>
      <c r="L205" s="23" t="str">
        <f>VLOOKUP($A205,'MG Universe'!$A$2:$R$9994,12)</f>
        <v>N/A</v>
      </c>
      <c r="M205" s="106">
        <f>VLOOKUP($A205,'MG Universe'!$A$2:$R$9994,13)</f>
        <v>0.9</v>
      </c>
      <c r="N205" s="107">
        <f>VLOOKUP($A205,'MG Universe'!$A$2:$R$9994,14)</f>
        <v>4.7699999999999996</v>
      </c>
      <c r="O205" s="22">
        <f>VLOOKUP($A205,'MG Universe'!$A$2:$R$9994,15)</f>
        <v>87.62</v>
      </c>
      <c r="P205" s="23">
        <f>VLOOKUP($A205,'MG Universe'!$A$2:$R$9994,16)</f>
        <v>0.15870000000000001</v>
      </c>
      <c r="Q205" s="109">
        <f>VLOOKUP($A205,'MG Universe'!$A$2:$R$9994,17)</f>
        <v>0</v>
      </c>
      <c r="R205" s="22">
        <f>VLOOKUP($A205,'MG Universe'!$A$2:$R$9994,18)</f>
        <v>257.95</v>
      </c>
    </row>
    <row r="206" spans="1:18" x14ac:dyDescent="0.55000000000000004">
      <c r="A206" s="18" t="s">
        <v>169</v>
      </c>
      <c r="B206" s="19" t="str">
        <f>VLOOKUP($A206,'MG Universe'!$A$2:$R$9994,2)</f>
        <v>Genuine Parts Company</v>
      </c>
      <c r="C206" s="19" t="str">
        <f>VLOOKUP($A206,'MG Universe'!$A$2:$R$9994,3)</f>
        <v>B</v>
      </c>
      <c r="D206" s="19" t="str">
        <f>VLOOKUP($A206,'MG Universe'!$A$2:$R$9994,4)</f>
        <v>E</v>
      </c>
      <c r="E206" s="19" t="str">
        <f>VLOOKUP($A206,'MG Universe'!$A$2:$R$9994,5)</f>
        <v>F</v>
      </c>
      <c r="F206" s="20" t="str">
        <f>VLOOKUP($A206,'MG Universe'!$A$2:$R$9994,6)</f>
        <v>EF</v>
      </c>
      <c r="G206" s="103">
        <f>VLOOKUP($A206,'MG Universe'!$A$2:$R$9994,7)</f>
        <v>42399</v>
      </c>
      <c r="H206" s="22">
        <f>VLOOKUP($A206,'MG Universe'!$A$2:$R$9994,8)</f>
        <v>94.75</v>
      </c>
      <c r="I206" s="22">
        <f>VLOOKUP($A206,'MG Universe'!$A$2:$R$9994,9)</f>
        <v>93.54</v>
      </c>
      <c r="J206" s="23">
        <f>VLOOKUP($A206,'MG Universe'!$A$2:$R$9994,10)</f>
        <v>0.98719999999999997</v>
      </c>
      <c r="K206" s="105">
        <f>VLOOKUP($A206,'MG Universe'!$A$2:$R$9994,11)</f>
        <v>21.21</v>
      </c>
      <c r="L206" s="23">
        <f>VLOOKUP($A206,'MG Universe'!$A$2:$R$9994,12)</f>
        <v>2.81E-2</v>
      </c>
      <c r="M206" s="106">
        <f>VLOOKUP($A206,'MG Universe'!$A$2:$R$9994,13)</f>
        <v>0.8</v>
      </c>
      <c r="N206" s="107">
        <f>VLOOKUP($A206,'MG Universe'!$A$2:$R$9994,14)</f>
        <v>1.49</v>
      </c>
      <c r="O206" s="22">
        <f>VLOOKUP($A206,'MG Universe'!$A$2:$R$9994,15)</f>
        <v>3.81</v>
      </c>
      <c r="P206" s="23">
        <f>VLOOKUP($A206,'MG Universe'!$A$2:$R$9994,16)</f>
        <v>6.3600000000000004E-2</v>
      </c>
      <c r="Q206" s="109">
        <f>VLOOKUP($A206,'MG Universe'!$A$2:$R$9994,17)</f>
        <v>20</v>
      </c>
      <c r="R206" s="22">
        <f>VLOOKUP($A206,'MG Universe'!$A$2:$R$9994,18)</f>
        <v>46.26</v>
      </c>
    </row>
    <row r="207" spans="1:18" x14ac:dyDescent="0.55000000000000004">
      <c r="A207" s="18" t="s">
        <v>314</v>
      </c>
      <c r="B207" s="19" t="str">
        <f>VLOOKUP($A207,'MG Universe'!$A$2:$R$9994,2)</f>
        <v>Gap Inc</v>
      </c>
      <c r="C207" s="19" t="str">
        <f>VLOOKUP($A207,'MG Universe'!$A$2:$R$9994,3)</f>
        <v>B+</v>
      </c>
      <c r="D207" s="19" t="str">
        <f>VLOOKUP($A207,'MG Universe'!$A$2:$R$9994,4)</f>
        <v>D</v>
      </c>
      <c r="E207" s="19" t="str">
        <f>VLOOKUP($A207,'MG Universe'!$A$2:$R$9994,5)</f>
        <v>U</v>
      </c>
      <c r="F207" s="20" t="str">
        <f>VLOOKUP($A207,'MG Universe'!$A$2:$R$9994,6)</f>
        <v>DU</v>
      </c>
      <c r="G207" s="103">
        <f>VLOOKUP($A207,'MG Universe'!$A$2:$R$9994,7)</f>
        <v>42409</v>
      </c>
      <c r="H207" s="22">
        <f>VLOOKUP($A207,'MG Universe'!$A$2:$R$9994,8)</f>
        <v>60.25</v>
      </c>
      <c r="I207" s="22">
        <f>VLOOKUP($A207,'MG Universe'!$A$2:$R$9994,9)</f>
        <v>28.37</v>
      </c>
      <c r="J207" s="23">
        <f>VLOOKUP($A207,'MG Universe'!$A$2:$R$9994,10)</f>
        <v>0.47089999999999999</v>
      </c>
      <c r="K207" s="105">
        <f>VLOOKUP($A207,'MG Universe'!$A$2:$R$9994,11)</f>
        <v>11.63</v>
      </c>
      <c r="L207" s="23">
        <f>VLOOKUP($A207,'MG Universe'!$A$2:$R$9994,12)</f>
        <v>3.2399999999999998E-2</v>
      </c>
      <c r="M207" s="106">
        <f>VLOOKUP($A207,'MG Universe'!$A$2:$R$9994,13)</f>
        <v>1.2</v>
      </c>
      <c r="N207" s="107">
        <f>VLOOKUP($A207,'MG Universe'!$A$2:$R$9994,14)</f>
        <v>1.58</v>
      </c>
      <c r="O207" s="22">
        <f>VLOOKUP($A207,'MG Universe'!$A$2:$R$9994,15)</f>
        <v>-2.0499999999999998</v>
      </c>
      <c r="P207" s="23">
        <f>VLOOKUP($A207,'MG Universe'!$A$2:$R$9994,16)</f>
        <v>1.5599999999999999E-2</v>
      </c>
      <c r="Q207" s="109">
        <f>VLOOKUP($A207,'MG Universe'!$A$2:$R$9994,17)</f>
        <v>6</v>
      </c>
      <c r="R207" s="22">
        <f>VLOOKUP($A207,'MG Universe'!$A$2:$R$9994,18)</f>
        <v>17.64</v>
      </c>
    </row>
    <row r="208" spans="1:18" x14ac:dyDescent="0.55000000000000004">
      <c r="A208" s="18" t="s">
        <v>243</v>
      </c>
      <c r="B208" s="19" t="str">
        <f>VLOOKUP($A208,'MG Universe'!$A$2:$R$9994,2)</f>
        <v>Garmin Ltd.</v>
      </c>
      <c r="C208" s="19" t="str">
        <f>VLOOKUP($A208,'MG Universe'!$A$2:$R$9994,3)</f>
        <v>B-</v>
      </c>
      <c r="D208" s="19" t="str">
        <f>VLOOKUP($A208,'MG Universe'!$A$2:$R$9994,4)</f>
        <v>D</v>
      </c>
      <c r="E208" s="19" t="str">
        <f>VLOOKUP($A208,'MG Universe'!$A$2:$R$9994,5)</f>
        <v>O</v>
      </c>
      <c r="F208" s="20" t="str">
        <f>VLOOKUP($A208,'MG Universe'!$A$2:$R$9994,6)</f>
        <v>DO</v>
      </c>
      <c r="G208" s="103">
        <f>VLOOKUP($A208,'MG Universe'!$A$2:$R$9994,7)</f>
        <v>42415</v>
      </c>
      <c r="H208" s="22">
        <f>VLOOKUP($A208,'MG Universe'!$A$2:$R$9994,8)</f>
        <v>5.65</v>
      </c>
      <c r="I208" s="22">
        <f>VLOOKUP($A208,'MG Universe'!$A$2:$R$9994,9)</f>
        <v>40.92</v>
      </c>
      <c r="J208" s="23">
        <f>VLOOKUP($A208,'MG Universe'!$A$2:$R$9994,10)</f>
        <v>7.2424999999999997</v>
      </c>
      <c r="K208" s="105">
        <f>VLOOKUP($A208,'MG Universe'!$A$2:$R$9994,11)</f>
        <v>17.12</v>
      </c>
      <c r="L208" s="23">
        <f>VLOOKUP($A208,'MG Universe'!$A$2:$R$9994,12)</f>
        <v>4.99E-2</v>
      </c>
      <c r="M208" s="106">
        <f>VLOOKUP($A208,'MG Universe'!$A$2:$R$9994,13)</f>
        <v>0.7</v>
      </c>
      <c r="N208" s="107">
        <f>VLOOKUP($A208,'MG Universe'!$A$2:$R$9994,14)</f>
        <v>2.4900000000000002</v>
      </c>
      <c r="O208" s="22">
        <f>VLOOKUP($A208,'MG Universe'!$A$2:$R$9994,15)</f>
        <v>5.65</v>
      </c>
      <c r="P208" s="23">
        <f>VLOOKUP($A208,'MG Universe'!$A$2:$R$9994,16)</f>
        <v>4.3099999999999999E-2</v>
      </c>
      <c r="Q208" s="109">
        <f>VLOOKUP($A208,'MG Universe'!$A$2:$R$9994,17)</f>
        <v>6</v>
      </c>
      <c r="R208" s="22">
        <f>VLOOKUP($A208,'MG Universe'!$A$2:$R$9994,18)</f>
        <v>28.67</v>
      </c>
    </row>
    <row r="209" spans="1:18" x14ac:dyDescent="0.55000000000000004">
      <c r="A209" s="18" t="s">
        <v>316</v>
      </c>
      <c r="B209" s="19" t="str">
        <f>VLOOKUP($A209,'MG Universe'!$A$2:$R$9994,2)</f>
        <v>Goldman Sachs Group Inc</v>
      </c>
      <c r="C209" s="19" t="str">
        <f>VLOOKUP($A209,'MG Universe'!$A$2:$R$9994,3)</f>
        <v>B+</v>
      </c>
      <c r="D209" s="19" t="str">
        <f>VLOOKUP($A209,'MG Universe'!$A$2:$R$9994,4)</f>
        <v>E</v>
      </c>
      <c r="E209" s="19" t="str">
        <f>VLOOKUP($A209,'MG Universe'!$A$2:$R$9994,5)</f>
        <v>U</v>
      </c>
      <c r="F209" s="20" t="str">
        <f>VLOOKUP($A209,'MG Universe'!$A$2:$R$9994,6)</f>
        <v>EU</v>
      </c>
      <c r="G209" s="103">
        <f>VLOOKUP($A209,'MG Universe'!$A$2:$R$9994,7)</f>
        <v>42318</v>
      </c>
      <c r="H209" s="22">
        <f>VLOOKUP($A209,'MG Universe'!$A$2:$R$9994,8)</f>
        <v>243.19</v>
      </c>
      <c r="I209" s="22">
        <f>VLOOKUP($A209,'MG Universe'!$A$2:$R$9994,9)</f>
        <v>154.09</v>
      </c>
      <c r="J209" s="23">
        <f>VLOOKUP($A209,'MG Universe'!$A$2:$R$9994,10)</f>
        <v>0.63360000000000005</v>
      </c>
      <c r="K209" s="105">
        <f>VLOOKUP($A209,'MG Universe'!$A$2:$R$9994,11)</f>
        <v>10.42</v>
      </c>
      <c r="L209" s="23">
        <f>VLOOKUP($A209,'MG Universe'!$A$2:$R$9994,12)</f>
        <v>1.6899999999999998E-2</v>
      </c>
      <c r="M209" s="106">
        <f>VLOOKUP($A209,'MG Universe'!$A$2:$R$9994,13)</f>
        <v>1.7</v>
      </c>
      <c r="N209" s="107" t="str">
        <f>VLOOKUP($A209,'MG Universe'!$A$2:$R$9994,14)</f>
        <v>N/A</v>
      </c>
      <c r="O209" s="22" t="str">
        <f>VLOOKUP($A209,'MG Universe'!$A$2:$R$9994,15)</f>
        <v>N/A</v>
      </c>
      <c r="P209" s="23">
        <f>VLOOKUP($A209,'MG Universe'!$A$2:$R$9994,16)</f>
        <v>9.5999999999999992E-3</v>
      </c>
      <c r="Q209" s="109">
        <f>VLOOKUP($A209,'MG Universe'!$A$2:$R$9994,17)</f>
        <v>4</v>
      </c>
      <c r="R209" s="22">
        <f>VLOOKUP($A209,'MG Universe'!$A$2:$R$9994,18)</f>
        <v>243.17</v>
      </c>
    </row>
    <row r="210" spans="1:18" x14ac:dyDescent="0.55000000000000004">
      <c r="A210" s="18" t="s">
        <v>546</v>
      </c>
      <c r="B210" s="19" t="str">
        <f>VLOOKUP($A210,'MG Universe'!$A$2:$R$9994,2)</f>
        <v>Goodyear Tire &amp; Rubber Co</v>
      </c>
      <c r="C210" s="19" t="str">
        <f>VLOOKUP($A210,'MG Universe'!$A$2:$R$9994,3)</f>
        <v>C-</v>
      </c>
      <c r="D210" s="19" t="str">
        <f>VLOOKUP($A210,'MG Universe'!$A$2:$R$9994,4)</f>
        <v>S</v>
      </c>
      <c r="E210" s="19" t="str">
        <f>VLOOKUP($A210,'MG Universe'!$A$2:$R$9994,5)</f>
        <v>U</v>
      </c>
      <c r="F210" s="20" t="str">
        <f>VLOOKUP($A210,'MG Universe'!$A$2:$R$9994,6)</f>
        <v>SU</v>
      </c>
      <c r="G210" s="103">
        <f>VLOOKUP($A210,'MG Universe'!$A$2:$R$9994,7)</f>
        <v>42039</v>
      </c>
      <c r="H210" s="22">
        <f>VLOOKUP($A210,'MG Universe'!$A$2:$R$9994,8)</f>
        <v>69.09</v>
      </c>
      <c r="I210" s="22">
        <f>VLOOKUP($A210,'MG Universe'!$A$2:$R$9994,9)</f>
        <v>31.41</v>
      </c>
      <c r="J210" s="23">
        <f>VLOOKUP($A210,'MG Universe'!$A$2:$R$9994,10)</f>
        <v>0.4546</v>
      </c>
      <c r="K210" s="105">
        <f>VLOOKUP($A210,'MG Universe'!$A$2:$R$9994,11)</f>
        <v>17.55</v>
      </c>
      <c r="L210" s="23">
        <f>VLOOKUP($A210,'MG Universe'!$A$2:$R$9994,12)</f>
        <v>7.6E-3</v>
      </c>
      <c r="M210" s="106">
        <f>VLOOKUP($A210,'MG Universe'!$A$2:$R$9994,13)</f>
        <v>2</v>
      </c>
      <c r="N210" s="107">
        <f>VLOOKUP($A210,'MG Universe'!$A$2:$R$9994,14)</f>
        <v>1.69</v>
      </c>
      <c r="O210" s="22">
        <f>VLOOKUP($A210,'MG Universe'!$A$2:$R$9994,15)</f>
        <v>-24.18</v>
      </c>
      <c r="P210" s="23">
        <f>VLOOKUP($A210,'MG Universe'!$A$2:$R$9994,16)</f>
        <v>4.5199999999999997E-2</v>
      </c>
      <c r="Q210" s="109">
        <f>VLOOKUP($A210,'MG Universe'!$A$2:$R$9994,17)</f>
        <v>0</v>
      </c>
      <c r="R210" s="22">
        <f>VLOOKUP($A210,'MG Universe'!$A$2:$R$9994,18)</f>
        <v>0</v>
      </c>
    </row>
    <row r="211" spans="1:18" x14ac:dyDescent="0.55000000000000004">
      <c r="A211" s="18" t="s">
        <v>318</v>
      </c>
      <c r="B211" s="19" t="str">
        <f>VLOOKUP($A211,'MG Universe'!$A$2:$R$9994,2)</f>
        <v>W W Grainger Inc</v>
      </c>
      <c r="C211" s="19" t="str">
        <f>VLOOKUP($A211,'MG Universe'!$A$2:$R$9994,3)</f>
        <v>B+</v>
      </c>
      <c r="D211" s="19" t="str">
        <f>VLOOKUP($A211,'MG Universe'!$A$2:$R$9994,4)</f>
        <v>D</v>
      </c>
      <c r="E211" s="19" t="str">
        <f>VLOOKUP($A211,'MG Universe'!$A$2:$R$9994,5)</f>
        <v>F</v>
      </c>
      <c r="F211" s="20" t="str">
        <f>VLOOKUP($A211,'MG Universe'!$A$2:$R$9994,6)</f>
        <v>DF</v>
      </c>
      <c r="G211" s="103">
        <f>VLOOKUP($A211,'MG Universe'!$A$2:$R$9994,7)</f>
        <v>42377</v>
      </c>
      <c r="H211" s="22">
        <f>VLOOKUP($A211,'MG Universe'!$A$2:$R$9994,8)</f>
        <v>269.26</v>
      </c>
      <c r="I211" s="22">
        <f>VLOOKUP($A211,'MG Universe'!$A$2:$R$9994,9)</f>
        <v>220.61</v>
      </c>
      <c r="J211" s="23">
        <f>VLOOKUP($A211,'MG Universe'!$A$2:$R$9994,10)</f>
        <v>0.81930000000000003</v>
      </c>
      <c r="K211" s="105">
        <f>VLOOKUP($A211,'MG Universe'!$A$2:$R$9994,11)</f>
        <v>20.170000000000002</v>
      </c>
      <c r="L211" s="23">
        <f>VLOOKUP($A211,'MG Universe'!$A$2:$R$9994,12)</f>
        <v>2.12E-2</v>
      </c>
      <c r="M211" s="106">
        <f>VLOOKUP($A211,'MG Universe'!$A$2:$R$9994,13)</f>
        <v>0.7</v>
      </c>
      <c r="N211" s="107">
        <f>VLOOKUP($A211,'MG Universe'!$A$2:$R$9994,14)</f>
        <v>2</v>
      </c>
      <c r="O211" s="22">
        <f>VLOOKUP($A211,'MG Universe'!$A$2:$R$9994,15)</f>
        <v>-5.23</v>
      </c>
      <c r="P211" s="23">
        <f>VLOOKUP($A211,'MG Universe'!$A$2:$R$9994,16)</f>
        <v>5.8299999999999998E-2</v>
      </c>
      <c r="Q211" s="109">
        <f>VLOOKUP($A211,'MG Universe'!$A$2:$R$9994,17)</f>
        <v>20</v>
      </c>
      <c r="R211" s="22">
        <f>VLOOKUP($A211,'MG Universe'!$A$2:$R$9994,18)</f>
        <v>98.09</v>
      </c>
    </row>
    <row r="212" spans="1:18" x14ac:dyDescent="0.55000000000000004">
      <c r="A212" s="18" t="s">
        <v>896</v>
      </c>
      <c r="B212" s="19" t="str">
        <f>VLOOKUP($A212,'MG Universe'!$A$2:$R$9994,2)</f>
        <v>Halliburton Company</v>
      </c>
      <c r="C212" s="19" t="str">
        <f>VLOOKUP($A212,'MG Universe'!$A$2:$R$9994,3)</f>
        <v>D+</v>
      </c>
      <c r="D212" s="19" t="str">
        <f>VLOOKUP($A212,'MG Universe'!$A$2:$R$9994,4)</f>
        <v>S</v>
      </c>
      <c r="E212" s="19" t="str">
        <f>VLOOKUP($A212,'MG Universe'!$A$2:$R$9994,5)</f>
        <v>O</v>
      </c>
      <c r="F212" s="20" t="str">
        <f>VLOOKUP($A212,'MG Universe'!$A$2:$R$9994,6)</f>
        <v>SO</v>
      </c>
      <c r="G212" s="103">
        <f>VLOOKUP($A212,'MG Universe'!$A$2:$R$9994,7)</f>
        <v>42257</v>
      </c>
      <c r="H212" s="22">
        <f>VLOOKUP($A212,'MG Universe'!$A$2:$R$9994,8)</f>
        <v>12.5</v>
      </c>
      <c r="I212" s="22">
        <f>VLOOKUP($A212,'MG Universe'!$A$2:$R$9994,9)</f>
        <v>33.659999999999997</v>
      </c>
      <c r="J212" s="23">
        <f>VLOOKUP($A212,'MG Universe'!$A$2:$R$9994,10)</f>
        <v>2.6928000000000001</v>
      </c>
      <c r="K212" s="105">
        <f>VLOOKUP($A212,'MG Universe'!$A$2:$R$9994,11)</f>
        <v>16.03</v>
      </c>
      <c r="L212" s="23">
        <f>VLOOKUP($A212,'MG Universe'!$A$2:$R$9994,12)</f>
        <v>2.1399999999999999E-2</v>
      </c>
      <c r="M212" s="106">
        <f>VLOOKUP($A212,'MG Universe'!$A$2:$R$9994,13)</f>
        <v>1.5</v>
      </c>
      <c r="N212" s="107">
        <f>VLOOKUP($A212,'MG Universe'!$A$2:$R$9994,14)</f>
        <v>3.04</v>
      </c>
      <c r="O212" s="22">
        <f>VLOOKUP($A212,'MG Universe'!$A$2:$R$9994,15)</f>
        <v>0.35</v>
      </c>
      <c r="P212" s="23">
        <f>VLOOKUP($A212,'MG Universe'!$A$2:$R$9994,16)</f>
        <v>3.7600000000000001E-2</v>
      </c>
      <c r="Q212" s="109">
        <f>VLOOKUP($A212,'MG Universe'!$A$2:$R$9994,17)</f>
        <v>3</v>
      </c>
      <c r="R212" s="22" t="str">
        <f>VLOOKUP($A212,'MG Universe'!$A$2:$R$9994,18)</f>
        <v>N/A</v>
      </c>
    </row>
    <row r="213" spans="1:18" x14ac:dyDescent="0.55000000000000004">
      <c r="A213" s="18" t="s">
        <v>548</v>
      </c>
      <c r="B213" s="19" t="str">
        <f>VLOOKUP($A213,'MG Universe'!$A$2:$R$9994,2)</f>
        <v>Harman International Industries Inc./DE/</v>
      </c>
      <c r="C213" s="19" t="str">
        <f>VLOOKUP($A213,'MG Universe'!$A$2:$R$9994,3)</f>
        <v>C-</v>
      </c>
      <c r="D213" s="19" t="str">
        <f>VLOOKUP($A213,'MG Universe'!$A$2:$R$9994,4)</f>
        <v>S</v>
      </c>
      <c r="E213" s="19" t="str">
        <f>VLOOKUP($A213,'MG Universe'!$A$2:$R$9994,5)</f>
        <v>U</v>
      </c>
      <c r="F213" s="20" t="str">
        <f>VLOOKUP($A213,'MG Universe'!$A$2:$R$9994,6)</f>
        <v>SU</v>
      </c>
      <c r="G213" s="103">
        <f>VLOOKUP($A213,'MG Universe'!$A$2:$R$9994,7)</f>
        <v>42258</v>
      </c>
      <c r="H213" s="22">
        <f>VLOOKUP($A213,'MG Universe'!$A$2:$R$9994,8)</f>
        <v>178.74</v>
      </c>
      <c r="I213" s="22">
        <f>VLOOKUP($A213,'MG Universe'!$A$2:$R$9994,9)</f>
        <v>79.53</v>
      </c>
      <c r="J213" s="23">
        <f>VLOOKUP($A213,'MG Universe'!$A$2:$R$9994,10)</f>
        <v>0.44490000000000002</v>
      </c>
      <c r="K213" s="105">
        <f>VLOOKUP($A213,'MG Universe'!$A$2:$R$9994,11)</f>
        <v>17.14</v>
      </c>
      <c r="L213" s="23">
        <f>VLOOKUP($A213,'MG Universe'!$A$2:$R$9994,12)</f>
        <v>1.7600000000000001E-2</v>
      </c>
      <c r="M213" s="106">
        <f>VLOOKUP($A213,'MG Universe'!$A$2:$R$9994,13)</f>
        <v>2.1</v>
      </c>
      <c r="N213" s="107">
        <f>VLOOKUP($A213,'MG Universe'!$A$2:$R$9994,14)</f>
        <v>1.39</v>
      </c>
      <c r="O213" s="22">
        <f>VLOOKUP($A213,'MG Universe'!$A$2:$R$9994,15)</f>
        <v>-8.36</v>
      </c>
      <c r="P213" s="23">
        <f>VLOOKUP($A213,'MG Universe'!$A$2:$R$9994,16)</f>
        <v>4.3200000000000002E-2</v>
      </c>
      <c r="Q213" s="109">
        <f>VLOOKUP($A213,'MG Universe'!$A$2:$R$9994,17)</f>
        <v>6</v>
      </c>
      <c r="R213" s="22">
        <f>VLOOKUP($A213,'MG Universe'!$A$2:$R$9994,18)</f>
        <v>68.8</v>
      </c>
    </row>
    <row r="214" spans="1:18" x14ac:dyDescent="0.55000000000000004">
      <c r="A214" s="18" t="s">
        <v>670</v>
      </c>
      <c r="B214" s="19" t="str">
        <f>VLOOKUP($A214,'MG Universe'!$A$2:$R$9994,2)</f>
        <v>Hasbro, Inc.</v>
      </c>
      <c r="C214" s="19" t="str">
        <f>VLOOKUP($A214,'MG Universe'!$A$2:$R$9994,3)</f>
        <v>C+</v>
      </c>
      <c r="D214" s="19" t="str">
        <f>VLOOKUP($A214,'MG Universe'!$A$2:$R$9994,4)</f>
        <v>E</v>
      </c>
      <c r="E214" s="19" t="str">
        <f>VLOOKUP($A214,'MG Universe'!$A$2:$R$9994,5)</f>
        <v>O</v>
      </c>
      <c r="F214" s="20" t="str">
        <f>VLOOKUP($A214,'MG Universe'!$A$2:$R$9994,6)</f>
        <v>EO</v>
      </c>
      <c r="G214" s="103">
        <f>VLOOKUP($A214,'MG Universe'!$A$2:$R$9994,7)</f>
        <v>42398</v>
      </c>
      <c r="H214" s="22">
        <f>VLOOKUP($A214,'MG Universe'!$A$2:$R$9994,8)</f>
        <v>37.99</v>
      </c>
      <c r="I214" s="22">
        <f>VLOOKUP($A214,'MG Universe'!$A$2:$R$9994,9)</f>
        <v>78.94</v>
      </c>
      <c r="J214" s="23">
        <f>VLOOKUP($A214,'MG Universe'!$A$2:$R$9994,10)</f>
        <v>2.0779000000000001</v>
      </c>
      <c r="K214" s="105">
        <f>VLOOKUP($A214,'MG Universe'!$A$2:$R$9994,11)</f>
        <v>26.85</v>
      </c>
      <c r="L214" s="23">
        <f>VLOOKUP($A214,'MG Universe'!$A$2:$R$9994,12)</f>
        <v>2.58E-2</v>
      </c>
      <c r="M214" s="106">
        <f>VLOOKUP($A214,'MG Universe'!$A$2:$R$9994,13)</f>
        <v>1.2</v>
      </c>
      <c r="N214" s="107">
        <f>VLOOKUP($A214,'MG Universe'!$A$2:$R$9994,14)</f>
        <v>2.64</v>
      </c>
      <c r="O214" s="22">
        <f>VLOOKUP($A214,'MG Universe'!$A$2:$R$9994,15)</f>
        <v>-2.04</v>
      </c>
      <c r="P214" s="23">
        <f>VLOOKUP($A214,'MG Universe'!$A$2:$R$9994,16)</f>
        <v>9.1800000000000007E-2</v>
      </c>
      <c r="Q214" s="109">
        <f>VLOOKUP($A214,'MG Universe'!$A$2:$R$9994,17)</f>
        <v>2</v>
      </c>
      <c r="R214" s="22">
        <f>VLOOKUP($A214,'MG Universe'!$A$2:$R$9994,18)</f>
        <v>30.67</v>
      </c>
    </row>
    <row r="215" spans="1:18" x14ac:dyDescent="0.55000000000000004">
      <c r="A215" s="18" t="s">
        <v>106</v>
      </c>
      <c r="B215" s="19" t="str">
        <f>VLOOKUP($A215,'MG Universe'!$A$2:$R$9994,2)</f>
        <v>Huntington Bancshares Incorporated</v>
      </c>
      <c r="C215" s="19" t="str">
        <f>VLOOKUP($A215,'MG Universe'!$A$2:$R$9994,3)</f>
        <v>A-</v>
      </c>
      <c r="D215" s="19" t="str">
        <f>VLOOKUP($A215,'MG Universe'!$A$2:$R$9994,4)</f>
        <v>E</v>
      </c>
      <c r="E215" s="19" t="str">
        <f>VLOOKUP($A215,'MG Universe'!$A$2:$R$9994,5)</f>
        <v>U</v>
      </c>
      <c r="F215" s="20" t="str">
        <f>VLOOKUP($A215,'MG Universe'!$A$2:$R$9994,6)</f>
        <v>EU</v>
      </c>
      <c r="G215" s="103">
        <f>VLOOKUP($A215,'MG Universe'!$A$2:$R$9994,7)</f>
        <v>42373</v>
      </c>
      <c r="H215" s="22">
        <f>VLOOKUP($A215,'MG Universe'!$A$2:$R$9994,8)</f>
        <v>28.36</v>
      </c>
      <c r="I215" s="22">
        <f>VLOOKUP($A215,'MG Universe'!$A$2:$R$9994,9)</f>
        <v>9.2899999999999991</v>
      </c>
      <c r="J215" s="23">
        <f>VLOOKUP($A215,'MG Universe'!$A$2:$R$9994,10)</f>
        <v>0.3276</v>
      </c>
      <c r="K215" s="105">
        <f>VLOOKUP($A215,'MG Universe'!$A$2:$R$9994,11)</f>
        <v>12.55</v>
      </c>
      <c r="L215" s="23">
        <f>VLOOKUP($A215,'MG Universe'!$A$2:$R$9994,12)</f>
        <v>3.0099999999999998E-2</v>
      </c>
      <c r="M215" s="106">
        <f>VLOOKUP($A215,'MG Universe'!$A$2:$R$9994,13)</f>
        <v>1.2</v>
      </c>
      <c r="N215" s="107" t="str">
        <f>VLOOKUP($A215,'MG Universe'!$A$2:$R$9994,14)</f>
        <v>N/A</v>
      </c>
      <c r="O215" s="22" t="str">
        <f>VLOOKUP($A215,'MG Universe'!$A$2:$R$9994,15)</f>
        <v>N/A</v>
      </c>
      <c r="P215" s="23">
        <f>VLOOKUP($A215,'MG Universe'!$A$2:$R$9994,16)</f>
        <v>2.0299999999999999E-2</v>
      </c>
      <c r="Q215" s="109">
        <f>VLOOKUP($A215,'MG Universe'!$A$2:$R$9994,17)</f>
        <v>5</v>
      </c>
      <c r="R215" s="22">
        <f>VLOOKUP($A215,'MG Universe'!$A$2:$R$9994,18)</f>
        <v>11.83</v>
      </c>
    </row>
    <row r="216" spans="1:18" x14ac:dyDescent="0.55000000000000004">
      <c r="A216" s="18" t="s">
        <v>392</v>
      </c>
      <c r="B216" s="19" t="str">
        <f>VLOOKUP($A216,'MG Universe'!$A$2:$R$9994,2)</f>
        <v>Hanesbrands Inc.</v>
      </c>
      <c r="C216" s="19" t="str">
        <f>VLOOKUP($A216,'MG Universe'!$A$2:$R$9994,3)</f>
        <v>C</v>
      </c>
      <c r="D216" s="19" t="str">
        <f>VLOOKUP($A216,'MG Universe'!$A$2:$R$9994,4)</f>
        <v>E</v>
      </c>
      <c r="E216" s="19" t="str">
        <f>VLOOKUP($A216,'MG Universe'!$A$2:$R$9994,5)</f>
        <v>F</v>
      </c>
      <c r="F216" s="20" t="str">
        <f>VLOOKUP($A216,'MG Universe'!$A$2:$R$9994,6)</f>
        <v>EF</v>
      </c>
      <c r="G216" s="103">
        <f>VLOOKUP($A216,'MG Universe'!$A$2:$R$9994,7)</f>
        <v>42403</v>
      </c>
      <c r="H216" s="22">
        <f>VLOOKUP($A216,'MG Universe'!$A$2:$R$9994,8)</f>
        <v>35.82</v>
      </c>
      <c r="I216" s="22">
        <f>VLOOKUP($A216,'MG Universe'!$A$2:$R$9994,9)</f>
        <v>29.01</v>
      </c>
      <c r="J216" s="23">
        <f>VLOOKUP($A216,'MG Universe'!$A$2:$R$9994,10)</f>
        <v>0.80989999999999995</v>
      </c>
      <c r="K216" s="105">
        <f>VLOOKUP($A216,'MG Universe'!$A$2:$R$9994,11)</f>
        <v>31.19</v>
      </c>
      <c r="L216" s="23">
        <f>VLOOKUP($A216,'MG Universe'!$A$2:$R$9994,12)</f>
        <v>1.52E-2</v>
      </c>
      <c r="M216" s="106">
        <f>VLOOKUP($A216,'MG Universe'!$A$2:$R$9994,13)</f>
        <v>1.2</v>
      </c>
      <c r="N216" s="107">
        <f>VLOOKUP($A216,'MG Universe'!$A$2:$R$9994,14)</f>
        <v>2.08</v>
      </c>
      <c r="O216" s="22">
        <f>VLOOKUP($A216,'MG Universe'!$A$2:$R$9994,15)</f>
        <v>-3.24</v>
      </c>
      <c r="P216" s="23">
        <f>VLOOKUP($A216,'MG Universe'!$A$2:$R$9994,16)</f>
        <v>0.1135</v>
      </c>
      <c r="Q216" s="109">
        <f>VLOOKUP($A216,'MG Universe'!$A$2:$R$9994,17)</f>
        <v>3</v>
      </c>
      <c r="R216" s="22">
        <f>VLOOKUP($A216,'MG Universe'!$A$2:$R$9994,18)</f>
        <v>9.32</v>
      </c>
    </row>
    <row r="217" spans="1:18" x14ac:dyDescent="0.55000000000000004">
      <c r="A217" s="18" t="s">
        <v>774</v>
      </c>
      <c r="B217" s="19" t="str">
        <f>VLOOKUP($A217,'MG Universe'!$A$2:$R$9994,2)</f>
        <v>HCA Holdings Inc</v>
      </c>
      <c r="C217" s="19" t="str">
        <f>VLOOKUP($A217,'MG Universe'!$A$2:$R$9994,3)</f>
        <v>D</v>
      </c>
      <c r="D217" s="19" t="str">
        <f>VLOOKUP($A217,'MG Universe'!$A$2:$R$9994,4)</f>
        <v>S</v>
      </c>
      <c r="E217" s="19" t="str">
        <f>VLOOKUP($A217,'MG Universe'!$A$2:$R$9994,5)</f>
        <v>O</v>
      </c>
      <c r="F217" s="20" t="str">
        <f>VLOOKUP($A217,'MG Universe'!$A$2:$R$9994,6)</f>
        <v>SO</v>
      </c>
      <c r="G217" s="103">
        <f>VLOOKUP($A217,'MG Universe'!$A$2:$R$9994,7)</f>
        <v>42213</v>
      </c>
      <c r="H217" s="22">
        <f>VLOOKUP($A217,'MG Universe'!$A$2:$R$9994,8)</f>
        <v>51.42</v>
      </c>
      <c r="I217" s="22">
        <f>VLOOKUP($A217,'MG Universe'!$A$2:$R$9994,9)</f>
        <v>71.3</v>
      </c>
      <c r="J217" s="23">
        <f>VLOOKUP($A217,'MG Universe'!$A$2:$R$9994,10)</f>
        <v>1.3866000000000001</v>
      </c>
      <c r="K217" s="105">
        <f>VLOOKUP($A217,'MG Universe'!$A$2:$R$9994,11)</f>
        <v>16.66</v>
      </c>
      <c r="L217" s="23" t="str">
        <f>VLOOKUP($A217,'MG Universe'!$A$2:$R$9994,12)</f>
        <v>N/A</v>
      </c>
      <c r="M217" s="106">
        <f>VLOOKUP($A217,'MG Universe'!$A$2:$R$9994,13)</f>
        <v>1.1000000000000001</v>
      </c>
      <c r="N217" s="107">
        <f>VLOOKUP($A217,'MG Universe'!$A$2:$R$9994,14)</f>
        <v>1.27</v>
      </c>
      <c r="O217" s="22">
        <f>VLOOKUP($A217,'MG Universe'!$A$2:$R$9994,15)</f>
        <v>-68.41</v>
      </c>
      <c r="P217" s="23">
        <f>VLOOKUP($A217,'MG Universe'!$A$2:$R$9994,16)</f>
        <v>4.0800000000000003E-2</v>
      </c>
      <c r="Q217" s="109">
        <f>VLOOKUP($A217,'MG Universe'!$A$2:$R$9994,17)</f>
        <v>0</v>
      </c>
      <c r="R217" s="22">
        <f>VLOOKUP($A217,'MG Universe'!$A$2:$R$9994,18)</f>
        <v>0</v>
      </c>
    </row>
    <row r="218" spans="1:18" x14ac:dyDescent="0.55000000000000004">
      <c r="A218" s="18" t="s">
        <v>1158</v>
      </c>
      <c r="B218" s="19" t="str">
        <f>VLOOKUP($A218,'MG Universe'!$A$2:$R$9994,2)</f>
        <v>HCA Holdings Inc</v>
      </c>
      <c r="C218" s="19" t="str">
        <f>VLOOKUP($A218,'MG Universe'!$A$2:$R$9994,3)</f>
        <v>D</v>
      </c>
      <c r="D218" s="19" t="str">
        <f>VLOOKUP($A218,'MG Universe'!$A$2:$R$9994,4)</f>
        <v>S</v>
      </c>
      <c r="E218" s="19" t="str">
        <f>VLOOKUP($A218,'MG Universe'!$A$2:$R$9994,5)</f>
        <v>O</v>
      </c>
      <c r="F218" s="20" t="str">
        <f>VLOOKUP($A218,'MG Universe'!$A$2:$R$9994,6)</f>
        <v>SO</v>
      </c>
      <c r="G218" s="103">
        <f>VLOOKUP($A218,'MG Universe'!$A$2:$R$9994,7)</f>
        <v>42213</v>
      </c>
      <c r="H218" s="22">
        <f>VLOOKUP($A218,'MG Universe'!$A$2:$R$9994,8)</f>
        <v>51.42</v>
      </c>
      <c r="I218" s="22">
        <f>VLOOKUP($A218,'MG Universe'!$A$2:$R$9994,9)</f>
        <v>71.3</v>
      </c>
      <c r="J218" s="23">
        <f>VLOOKUP($A218,'MG Universe'!$A$2:$R$9994,10)</f>
        <v>1.3866000000000001</v>
      </c>
      <c r="K218" s="105">
        <f>VLOOKUP($A218,'MG Universe'!$A$2:$R$9994,11)</f>
        <v>16.66</v>
      </c>
      <c r="L218" s="23" t="str">
        <f>VLOOKUP($A218,'MG Universe'!$A$2:$R$9994,12)</f>
        <v>N/A</v>
      </c>
      <c r="M218" s="106">
        <f>VLOOKUP($A218,'MG Universe'!$A$2:$R$9994,13)</f>
        <v>1.1000000000000001</v>
      </c>
      <c r="N218" s="107">
        <f>VLOOKUP($A218,'MG Universe'!$A$2:$R$9994,14)</f>
        <v>1.27</v>
      </c>
      <c r="O218" s="22">
        <f>VLOOKUP($A218,'MG Universe'!$A$2:$R$9994,15)</f>
        <v>-68.41</v>
      </c>
      <c r="P218" s="23">
        <f>VLOOKUP($A218,'MG Universe'!$A$2:$R$9994,16)</f>
        <v>4.0800000000000003E-2</v>
      </c>
      <c r="Q218" s="109">
        <f>VLOOKUP($A218,'MG Universe'!$A$2:$R$9994,17)</f>
        <v>0</v>
      </c>
      <c r="R218" s="22">
        <f>VLOOKUP($A218,'MG Universe'!$A$2:$R$9994,18)</f>
        <v>0</v>
      </c>
    </row>
    <row r="219" spans="1:18" x14ac:dyDescent="0.55000000000000004">
      <c r="A219" s="18" t="s">
        <v>394</v>
      </c>
      <c r="B219" s="19" t="str">
        <f>VLOOKUP($A219,'MG Universe'!$A$2:$R$9994,2)</f>
        <v>Welltower Inc</v>
      </c>
      <c r="C219" s="19" t="str">
        <f>VLOOKUP($A219,'MG Universe'!$A$2:$R$9994,3)</f>
        <v>C</v>
      </c>
      <c r="D219" s="19" t="str">
        <f>VLOOKUP($A219,'MG Universe'!$A$2:$R$9994,4)</f>
        <v>E</v>
      </c>
      <c r="E219" s="19" t="str">
        <f>VLOOKUP($A219,'MG Universe'!$A$2:$R$9994,5)</f>
        <v>O</v>
      </c>
      <c r="F219" s="20" t="str">
        <f>VLOOKUP($A219,'MG Universe'!$A$2:$R$9994,6)</f>
        <v>EO</v>
      </c>
      <c r="G219" s="103">
        <f>VLOOKUP($A219,'MG Universe'!$A$2:$R$9994,7)</f>
        <v>42320</v>
      </c>
      <c r="H219" s="22">
        <f>VLOOKUP($A219,'MG Universe'!$A$2:$R$9994,8)</f>
        <v>28.29</v>
      </c>
      <c r="I219" s="22">
        <f>VLOOKUP($A219,'MG Universe'!$A$2:$R$9994,9)</f>
        <v>66.930000000000007</v>
      </c>
      <c r="J219" s="23">
        <f>VLOOKUP($A219,'MG Universe'!$A$2:$R$9994,10)</f>
        <v>2.3658999999999999</v>
      </c>
      <c r="K219" s="105">
        <f>VLOOKUP($A219,'MG Universe'!$A$2:$R$9994,11)</f>
        <v>40.56</v>
      </c>
      <c r="L219" s="23">
        <f>VLOOKUP($A219,'MG Universe'!$A$2:$R$9994,12)</f>
        <v>5.1400000000000001E-2</v>
      </c>
      <c r="M219" s="106">
        <f>VLOOKUP($A219,'MG Universe'!$A$2:$R$9994,13)</f>
        <v>0.4</v>
      </c>
      <c r="N219" s="107">
        <f>VLOOKUP($A219,'MG Universe'!$A$2:$R$9994,14)</f>
        <v>2.06</v>
      </c>
      <c r="O219" s="22">
        <f>VLOOKUP($A219,'MG Universe'!$A$2:$R$9994,15)</f>
        <v>-32.270000000000003</v>
      </c>
      <c r="P219" s="23">
        <f>VLOOKUP($A219,'MG Universe'!$A$2:$R$9994,16)</f>
        <v>0.1603</v>
      </c>
      <c r="Q219" s="109">
        <f>VLOOKUP($A219,'MG Universe'!$A$2:$R$9994,17)</f>
        <v>8</v>
      </c>
      <c r="R219" s="22">
        <f>VLOOKUP($A219,'MG Universe'!$A$2:$R$9994,18)</f>
        <v>51.58</v>
      </c>
    </row>
    <row r="220" spans="1:18" x14ac:dyDescent="0.55000000000000004">
      <c r="A220" s="18" t="s">
        <v>245</v>
      </c>
      <c r="B220" s="19" t="str">
        <f>VLOOKUP($A220,'MG Universe'!$A$2:$R$9994,2)</f>
        <v>HCP, Inc.</v>
      </c>
      <c r="C220" s="19" t="str">
        <f>VLOOKUP($A220,'MG Universe'!$A$2:$R$9994,3)</f>
        <v>B-</v>
      </c>
      <c r="D220" s="19" t="str">
        <f>VLOOKUP($A220,'MG Universe'!$A$2:$R$9994,4)</f>
        <v>E</v>
      </c>
      <c r="E220" s="19" t="str">
        <f>VLOOKUP($A220,'MG Universe'!$A$2:$R$9994,5)</f>
        <v>F</v>
      </c>
      <c r="F220" s="20" t="str">
        <f>VLOOKUP($A220,'MG Universe'!$A$2:$R$9994,6)</f>
        <v>EF</v>
      </c>
      <c r="G220" s="103">
        <f>VLOOKUP($A220,'MG Universe'!$A$2:$R$9994,7)</f>
        <v>42400</v>
      </c>
      <c r="H220" s="22">
        <f>VLOOKUP($A220,'MG Universe'!$A$2:$R$9994,8)</f>
        <v>28.76</v>
      </c>
      <c r="I220" s="22">
        <f>VLOOKUP($A220,'MG Universe'!$A$2:$R$9994,9)</f>
        <v>30.98</v>
      </c>
      <c r="J220" s="23">
        <f>VLOOKUP($A220,'MG Universe'!$A$2:$R$9994,10)</f>
        <v>1.0771999999999999</v>
      </c>
      <c r="K220" s="105">
        <f>VLOOKUP($A220,'MG Universe'!$A$2:$R$9994,11)</f>
        <v>19.61</v>
      </c>
      <c r="L220" s="23">
        <f>VLOOKUP($A220,'MG Universe'!$A$2:$R$9994,12)</f>
        <v>7.4200000000000002E-2</v>
      </c>
      <c r="M220" s="106">
        <f>VLOOKUP($A220,'MG Universe'!$A$2:$R$9994,13)</f>
        <v>0.3</v>
      </c>
      <c r="N220" s="107">
        <f>VLOOKUP($A220,'MG Universe'!$A$2:$R$9994,14)</f>
        <v>1.95</v>
      </c>
      <c r="O220" s="22">
        <f>VLOOKUP($A220,'MG Universe'!$A$2:$R$9994,15)</f>
        <v>-23.78</v>
      </c>
      <c r="P220" s="23">
        <f>VLOOKUP($A220,'MG Universe'!$A$2:$R$9994,16)</f>
        <v>5.5500000000000001E-2</v>
      </c>
      <c r="Q220" s="109">
        <f>VLOOKUP($A220,'MG Universe'!$A$2:$R$9994,17)</f>
        <v>11</v>
      </c>
      <c r="R220" s="22">
        <f>VLOOKUP($A220,'MG Universe'!$A$2:$R$9994,18)</f>
        <v>20.46</v>
      </c>
    </row>
    <row r="221" spans="1:18" x14ac:dyDescent="0.55000000000000004">
      <c r="A221" s="18" t="s">
        <v>898</v>
      </c>
      <c r="B221" s="19" t="str">
        <f>VLOOKUP($A221,'MG Universe'!$A$2:$R$9994,2)</f>
        <v>Home Depot Inc</v>
      </c>
      <c r="C221" s="19" t="str">
        <f>VLOOKUP($A221,'MG Universe'!$A$2:$R$9994,3)</f>
        <v>D+</v>
      </c>
      <c r="D221" s="19" t="str">
        <f>VLOOKUP($A221,'MG Universe'!$A$2:$R$9994,4)</f>
        <v>S</v>
      </c>
      <c r="E221" s="19" t="str">
        <f>VLOOKUP($A221,'MG Universe'!$A$2:$R$9994,5)</f>
        <v>F</v>
      </c>
      <c r="F221" s="20" t="str">
        <f>VLOOKUP($A221,'MG Universe'!$A$2:$R$9994,6)</f>
        <v>SF</v>
      </c>
      <c r="G221" s="103">
        <f>VLOOKUP($A221,'MG Universe'!$A$2:$R$9994,7)</f>
        <v>42318</v>
      </c>
      <c r="H221" s="22">
        <f>VLOOKUP($A221,'MG Universe'!$A$2:$R$9994,8)</f>
        <v>166.55</v>
      </c>
      <c r="I221" s="22">
        <f>VLOOKUP($A221,'MG Universe'!$A$2:$R$9994,9)</f>
        <v>125.61</v>
      </c>
      <c r="J221" s="23">
        <f>VLOOKUP($A221,'MG Universe'!$A$2:$R$9994,10)</f>
        <v>0.75419999999999998</v>
      </c>
      <c r="K221" s="105">
        <f>VLOOKUP($A221,'MG Universe'!$A$2:$R$9994,11)</f>
        <v>29.01</v>
      </c>
      <c r="L221" s="23">
        <f>VLOOKUP($A221,'MG Universe'!$A$2:$R$9994,12)</f>
        <v>2.1999999999999999E-2</v>
      </c>
      <c r="M221" s="106">
        <f>VLOOKUP($A221,'MG Universe'!$A$2:$R$9994,13)</f>
        <v>0.9</v>
      </c>
      <c r="N221" s="107">
        <f>VLOOKUP($A221,'MG Universe'!$A$2:$R$9994,14)</f>
        <v>1.19</v>
      </c>
      <c r="O221" s="22">
        <f>VLOOKUP($A221,'MG Universe'!$A$2:$R$9994,15)</f>
        <v>-12.13</v>
      </c>
      <c r="P221" s="23">
        <f>VLOOKUP($A221,'MG Universe'!$A$2:$R$9994,16)</f>
        <v>0.10249999999999999</v>
      </c>
      <c r="Q221" s="109">
        <f>VLOOKUP($A221,'MG Universe'!$A$2:$R$9994,17)</f>
        <v>6</v>
      </c>
      <c r="R221" s="22">
        <f>VLOOKUP($A221,'MG Universe'!$A$2:$R$9994,18)</f>
        <v>28.22</v>
      </c>
    </row>
    <row r="222" spans="1:18" x14ac:dyDescent="0.55000000000000004">
      <c r="A222" s="18" t="s">
        <v>900</v>
      </c>
      <c r="B222" s="19" t="str">
        <f>VLOOKUP($A222,'MG Universe'!$A$2:$R$9994,2)</f>
        <v>Hess Corp.</v>
      </c>
      <c r="C222" s="19" t="str">
        <f>VLOOKUP($A222,'MG Universe'!$A$2:$R$9994,3)</f>
        <v>D+</v>
      </c>
      <c r="D222" s="19" t="str">
        <f>VLOOKUP($A222,'MG Universe'!$A$2:$R$9994,4)</f>
        <v>S</v>
      </c>
      <c r="E222" s="19" t="str">
        <f>VLOOKUP($A222,'MG Universe'!$A$2:$R$9994,5)</f>
        <v>O</v>
      </c>
      <c r="F222" s="20" t="str">
        <f>VLOOKUP($A222,'MG Universe'!$A$2:$R$9994,6)</f>
        <v>SO</v>
      </c>
      <c r="G222" s="103">
        <f>VLOOKUP($A222,'MG Universe'!$A$2:$R$9994,7)</f>
        <v>42136</v>
      </c>
      <c r="H222" s="22">
        <f>VLOOKUP($A222,'MG Universe'!$A$2:$R$9994,8)</f>
        <v>25.89</v>
      </c>
      <c r="I222" s="22">
        <f>VLOOKUP($A222,'MG Universe'!$A$2:$R$9994,9)</f>
        <v>46.92</v>
      </c>
      <c r="J222" s="23">
        <f>VLOOKUP($A222,'MG Universe'!$A$2:$R$9994,10)</f>
        <v>1.8123</v>
      </c>
      <c r="K222" s="105">
        <f>VLOOKUP($A222,'MG Universe'!$A$2:$R$9994,11)</f>
        <v>10.029999999999999</v>
      </c>
      <c r="L222" s="23">
        <f>VLOOKUP($A222,'MG Universe'!$A$2:$R$9994,12)</f>
        <v>2.1299999999999999E-2</v>
      </c>
      <c r="M222" s="106">
        <f>VLOOKUP($A222,'MG Universe'!$A$2:$R$9994,13)</f>
        <v>1.8</v>
      </c>
      <c r="N222" s="107">
        <f>VLOOKUP($A222,'MG Universe'!$A$2:$R$9994,14)</f>
        <v>1.25</v>
      </c>
      <c r="O222" s="22">
        <f>VLOOKUP($A222,'MG Universe'!$A$2:$R$9994,15)</f>
        <v>-35.659999999999997</v>
      </c>
      <c r="P222" s="23">
        <f>VLOOKUP($A222,'MG Universe'!$A$2:$R$9994,16)</f>
        <v>7.6E-3</v>
      </c>
      <c r="Q222" s="109">
        <f>VLOOKUP($A222,'MG Universe'!$A$2:$R$9994,17)</f>
        <v>0</v>
      </c>
      <c r="R222" s="22">
        <f>VLOOKUP($A222,'MG Universe'!$A$2:$R$9994,18)</f>
        <v>0</v>
      </c>
    </row>
    <row r="223" spans="1:18" x14ac:dyDescent="0.55000000000000004">
      <c r="A223" s="18" t="s">
        <v>902</v>
      </c>
      <c r="B223" s="19" t="str">
        <f>VLOOKUP($A223,'MG Universe'!$A$2:$R$9994,2)</f>
        <v>Hartford Financial Services Group Inc</v>
      </c>
      <c r="C223" s="19" t="str">
        <f>VLOOKUP($A223,'MG Universe'!$A$2:$R$9994,3)</f>
        <v>D+</v>
      </c>
      <c r="D223" s="19" t="str">
        <f>VLOOKUP($A223,'MG Universe'!$A$2:$R$9994,4)</f>
        <v>S</v>
      </c>
      <c r="E223" s="19" t="str">
        <f>VLOOKUP($A223,'MG Universe'!$A$2:$R$9994,5)</f>
        <v>U</v>
      </c>
      <c r="F223" s="20" t="str">
        <f>VLOOKUP($A223,'MG Universe'!$A$2:$R$9994,6)</f>
        <v>SU</v>
      </c>
      <c r="G223" s="103">
        <f>VLOOKUP($A223,'MG Universe'!$A$2:$R$9994,7)</f>
        <v>42158</v>
      </c>
      <c r="H223" s="22">
        <f>VLOOKUP($A223,'MG Universe'!$A$2:$R$9994,8)</f>
        <v>69.66</v>
      </c>
      <c r="I223" s="22">
        <f>VLOOKUP($A223,'MG Universe'!$A$2:$R$9994,9)</f>
        <v>43.62</v>
      </c>
      <c r="J223" s="23">
        <f>VLOOKUP($A223,'MG Universe'!$A$2:$R$9994,10)</f>
        <v>0.62619999999999998</v>
      </c>
      <c r="K223" s="105">
        <f>VLOOKUP($A223,'MG Universe'!$A$2:$R$9994,11)</f>
        <v>24.1</v>
      </c>
      <c r="L223" s="23">
        <f>VLOOKUP($A223,'MG Universe'!$A$2:$R$9994,12)</f>
        <v>1.9300000000000001E-2</v>
      </c>
      <c r="M223" s="106">
        <f>VLOOKUP($A223,'MG Universe'!$A$2:$R$9994,13)</f>
        <v>1.7</v>
      </c>
      <c r="N223" s="107" t="str">
        <f>VLOOKUP($A223,'MG Universe'!$A$2:$R$9994,14)</f>
        <v>N/A</v>
      </c>
      <c r="O223" s="22" t="str">
        <f>VLOOKUP($A223,'MG Universe'!$A$2:$R$9994,15)</f>
        <v>N/A</v>
      </c>
      <c r="P223" s="23">
        <f>VLOOKUP($A223,'MG Universe'!$A$2:$R$9994,16)</f>
        <v>7.8E-2</v>
      </c>
      <c r="Q223" s="109">
        <f>VLOOKUP($A223,'MG Universe'!$A$2:$R$9994,17)</f>
        <v>0</v>
      </c>
      <c r="R223" s="22">
        <f>VLOOKUP($A223,'MG Universe'!$A$2:$R$9994,18)</f>
        <v>0</v>
      </c>
    </row>
    <row r="224" spans="1:18" x14ac:dyDescent="0.55000000000000004">
      <c r="A224" s="18" t="s">
        <v>171</v>
      </c>
      <c r="B224" s="19" t="str">
        <f>VLOOKUP($A224,'MG Universe'!$A$2:$R$9994,2)</f>
        <v>Harley-Davidson Inc</v>
      </c>
      <c r="C224" s="19" t="str">
        <f>VLOOKUP($A224,'MG Universe'!$A$2:$R$9994,3)</f>
        <v>B</v>
      </c>
      <c r="D224" s="19" t="str">
        <f>VLOOKUP($A224,'MG Universe'!$A$2:$R$9994,4)</f>
        <v>E</v>
      </c>
      <c r="E224" s="19" t="str">
        <f>VLOOKUP($A224,'MG Universe'!$A$2:$R$9994,5)</f>
        <v>U</v>
      </c>
      <c r="F224" s="20" t="str">
        <f>VLOOKUP($A224,'MG Universe'!$A$2:$R$9994,6)</f>
        <v>EU</v>
      </c>
      <c r="G224" s="103">
        <f>VLOOKUP($A224,'MG Universe'!$A$2:$R$9994,7)</f>
        <v>42373</v>
      </c>
      <c r="H224" s="22">
        <f>VLOOKUP($A224,'MG Universe'!$A$2:$R$9994,8)</f>
        <v>131.03</v>
      </c>
      <c r="I224" s="22">
        <f>VLOOKUP($A224,'MG Universe'!$A$2:$R$9994,9)</f>
        <v>44.92</v>
      </c>
      <c r="J224" s="23">
        <f>VLOOKUP($A224,'MG Universe'!$A$2:$R$9994,10)</f>
        <v>0.34279999999999999</v>
      </c>
      <c r="K224" s="105">
        <f>VLOOKUP($A224,'MG Universe'!$A$2:$R$9994,11)</f>
        <v>13.21</v>
      </c>
      <c r="L224" s="23">
        <f>VLOOKUP($A224,'MG Universe'!$A$2:$R$9994,12)</f>
        <v>2.76E-2</v>
      </c>
      <c r="M224" s="106">
        <f>VLOOKUP($A224,'MG Universe'!$A$2:$R$9994,13)</f>
        <v>0.8</v>
      </c>
      <c r="N224" s="107">
        <f>VLOOKUP($A224,'MG Universe'!$A$2:$R$9994,14)</f>
        <v>1.73</v>
      </c>
      <c r="O224" s="22">
        <f>VLOOKUP($A224,'MG Universe'!$A$2:$R$9994,15)</f>
        <v>-17.38</v>
      </c>
      <c r="P224" s="23">
        <f>VLOOKUP($A224,'MG Universe'!$A$2:$R$9994,16)</f>
        <v>2.3599999999999999E-2</v>
      </c>
      <c r="Q224" s="109">
        <f>VLOOKUP($A224,'MG Universe'!$A$2:$R$9994,17)</f>
        <v>5</v>
      </c>
      <c r="R224" s="22">
        <f>VLOOKUP($A224,'MG Universe'!$A$2:$R$9994,18)</f>
        <v>32.6</v>
      </c>
    </row>
    <row r="225" spans="1:18" x14ac:dyDescent="0.55000000000000004">
      <c r="A225" s="18" t="s">
        <v>396</v>
      </c>
      <c r="B225" s="19" t="str">
        <f>VLOOKUP($A225,'MG Universe'!$A$2:$R$9994,2)</f>
        <v>Honeywell International Inc.</v>
      </c>
      <c r="C225" s="19" t="str">
        <f>VLOOKUP($A225,'MG Universe'!$A$2:$R$9994,3)</f>
        <v>C</v>
      </c>
      <c r="D225" s="19" t="str">
        <f>VLOOKUP($A225,'MG Universe'!$A$2:$R$9994,4)</f>
        <v>S</v>
      </c>
      <c r="E225" s="19" t="str">
        <f>VLOOKUP($A225,'MG Universe'!$A$2:$R$9994,5)</f>
        <v>U</v>
      </c>
      <c r="F225" s="20" t="str">
        <f>VLOOKUP($A225,'MG Universe'!$A$2:$R$9994,6)</f>
        <v>SU</v>
      </c>
      <c r="G225" s="103">
        <f>VLOOKUP($A225,'MG Universe'!$A$2:$R$9994,7)</f>
        <v>42410</v>
      </c>
      <c r="H225" s="22">
        <f>VLOOKUP($A225,'MG Universe'!$A$2:$R$9994,8)</f>
        <v>202.12</v>
      </c>
      <c r="I225" s="22">
        <f>VLOOKUP($A225,'MG Universe'!$A$2:$R$9994,9)</f>
        <v>106.47</v>
      </c>
      <c r="J225" s="23">
        <f>VLOOKUP($A225,'MG Universe'!$A$2:$R$9994,10)</f>
        <v>0.52680000000000005</v>
      </c>
      <c r="K225" s="105">
        <f>VLOOKUP($A225,'MG Universe'!$A$2:$R$9994,11)</f>
        <v>18.809999999999999</v>
      </c>
      <c r="L225" s="23">
        <f>VLOOKUP($A225,'MG Universe'!$A$2:$R$9994,12)</f>
        <v>2.24E-2</v>
      </c>
      <c r="M225" s="106">
        <f>VLOOKUP($A225,'MG Universe'!$A$2:$R$9994,13)</f>
        <v>1.1000000000000001</v>
      </c>
      <c r="N225" s="107">
        <f>VLOOKUP($A225,'MG Universe'!$A$2:$R$9994,14)</f>
        <v>1.0900000000000001</v>
      </c>
      <c r="O225" s="22">
        <f>VLOOKUP($A225,'MG Universe'!$A$2:$R$9994,15)</f>
        <v>-14.07</v>
      </c>
      <c r="P225" s="23">
        <f>VLOOKUP($A225,'MG Universe'!$A$2:$R$9994,16)</f>
        <v>5.16E-2</v>
      </c>
      <c r="Q225" s="109">
        <f>VLOOKUP($A225,'MG Universe'!$A$2:$R$9994,17)</f>
        <v>6</v>
      </c>
      <c r="R225" s="22">
        <f>VLOOKUP($A225,'MG Universe'!$A$2:$R$9994,18)</f>
        <v>59.12</v>
      </c>
    </row>
    <row r="226" spans="1:18" x14ac:dyDescent="0.55000000000000004">
      <c r="A226" s="18" t="s">
        <v>550</v>
      </c>
      <c r="B226" s="19" t="str">
        <f>VLOOKUP($A226,'MG Universe'!$A$2:$R$9994,2)</f>
        <v>Starwood Hotels &amp; Resorts Worldwide Inc</v>
      </c>
      <c r="C226" s="19" t="str">
        <f>VLOOKUP($A226,'MG Universe'!$A$2:$R$9994,3)</f>
        <v>C-</v>
      </c>
      <c r="D226" s="19" t="str">
        <f>VLOOKUP($A226,'MG Universe'!$A$2:$R$9994,4)</f>
        <v>S</v>
      </c>
      <c r="E226" s="19" t="str">
        <f>VLOOKUP($A226,'MG Universe'!$A$2:$R$9994,5)</f>
        <v>F</v>
      </c>
      <c r="F226" s="20" t="str">
        <f>VLOOKUP($A226,'MG Universe'!$A$2:$R$9994,6)</f>
        <v>SF</v>
      </c>
      <c r="G226" s="103">
        <f>VLOOKUP($A226,'MG Universe'!$A$2:$R$9994,7)</f>
        <v>42200</v>
      </c>
      <c r="H226" s="22">
        <f>VLOOKUP($A226,'MG Universe'!$A$2:$R$9994,8)</f>
        <v>75.09</v>
      </c>
      <c r="I226" s="22">
        <f>VLOOKUP($A226,'MG Universe'!$A$2:$R$9994,9)</f>
        <v>70.25</v>
      </c>
      <c r="J226" s="23">
        <f>VLOOKUP($A226,'MG Universe'!$A$2:$R$9994,10)</f>
        <v>0.9355</v>
      </c>
      <c r="K226" s="105">
        <f>VLOOKUP($A226,'MG Universe'!$A$2:$R$9994,11)</f>
        <v>22.96</v>
      </c>
      <c r="L226" s="23">
        <f>VLOOKUP($A226,'MG Universe'!$A$2:$R$9994,12)</f>
        <v>2.1399999999999999E-2</v>
      </c>
      <c r="M226" s="106">
        <f>VLOOKUP($A226,'MG Universe'!$A$2:$R$9994,13)</f>
        <v>2</v>
      </c>
      <c r="N226" s="107">
        <f>VLOOKUP($A226,'MG Universe'!$A$2:$R$9994,14)</f>
        <v>0.83</v>
      </c>
      <c r="O226" s="22">
        <f>VLOOKUP($A226,'MG Universe'!$A$2:$R$9994,15)</f>
        <v>-28.38</v>
      </c>
      <c r="P226" s="23">
        <f>VLOOKUP($A226,'MG Universe'!$A$2:$R$9994,16)</f>
        <v>7.2300000000000003E-2</v>
      </c>
      <c r="Q226" s="109">
        <f>VLOOKUP($A226,'MG Universe'!$A$2:$R$9994,17)</f>
        <v>0</v>
      </c>
      <c r="R226" s="22">
        <f>VLOOKUP($A226,'MG Universe'!$A$2:$R$9994,18)</f>
        <v>0</v>
      </c>
    </row>
    <row r="227" spans="1:18" x14ac:dyDescent="0.55000000000000004">
      <c r="A227" s="18" t="s">
        <v>320</v>
      </c>
      <c r="B227" s="19" t="str">
        <f>VLOOKUP($A227,'MG Universe'!$A$2:$R$9994,2)</f>
        <v>Helmerich &amp; Payne, Inc.</v>
      </c>
      <c r="C227" s="19" t="str">
        <f>VLOOKUP($A227,'MG Universe'!$A$2:$R$9994,3)</f>
        <v>B+</v>
      </c>
      <c r="D227" s="19" t="str">
        <f>VLOOKUP($A227,'MG Universe'!$A$2:$R$9994,4)</f>
        <v>D</v>
      </c>
      <c r="E227" s="19" t="str">
        <f>VLOOKUP($A227,'MG Universe'!$A$2:$R$9994,5)</f>
        <v>O</v>
      </c>
      <c r="F227" s="20" t="str">
        <f>VLOOKUP($A227,'MG Universe'!$A$2:$R$9994,6)</f>
        <v>DO</v>
      </c>
      <c r="G227" s="103">
        <f>VLOOKUP($A227,'MG Universe'!$A$2:$R$9994,7)</f>
        <v>42335</v>
      </c>
      <c r="H227" s="22">
        <f>VLOOKUP($A227,'MG Universe'!$A$2:$R$9994,8)</f>
        <v>26.35</v>
      </c>
      <c r="I227" s="22">
        <f>VLOOKUP($A227,'MG Universe'!$A$2:$R$9994,9)</f>
        <v>57.34</v>
      </c>
      <c r="J227" s="23">
        <f>VLOOKUP($A227,'MG Universe'!$A$2:$R$9994,10)</f>
        <v>2.1760999999999999</v>
      </c>
      <c r="K227" s="105">
        <f>VLOOKUP($A227,'MG Universe'!$A$2:$R$9994,11)</f>
        <v>15.54</v>
      </c>
      <c r="L227" s="23">
        <f>VLOOKUP($A227,'MG Universe'!$A$2:$R$9994,12)</f>
        <v>4.8000000000000001E-2</v>
      </c>
      <c r="M227" s="106">
        <f>VLOOKUP($A227,'MG Universe'!$A$2:$R$9994,13)</f>
        <v>1.7</v>
      </c>
      <c r="N227" s="107">
        <f>VLOOKUP($A227,'MG Universe'!$A$2:$R$9994,14)</f>
        <v>4.0999999999999996</v>
      </c>
      <c r="O227" s="22">
        <f>VLOOKUP($A227,'MG Universe'!$A$2:$R$9994,15)</f>
        <v>-7.51</v>
      </c>
      <c r="P227" s="23">
        <f>VLOOKUP($A227,'MG Universe'!$A$2:$R$9994,16)</f>
        <v>3.5200000000000002E-2</v>
      </c>
      <c r="Q227" s="109">
        <f>VLOOKUP($A227,'MG Universe'!$A$2:$R$9994,17)</f>
        <v>20</v>
      </c>
      <c r="R227" s="22">
        <f>VLOOKUP($A227,'MG Universe'!$A$2:$R$9994,18)</f>
        <v>17.82</v>
      </c>
    </row>
    <row r="228" spans="1:18" x14ac:dyDescent="0.55000000000000004">
      <c r="A228" s="18" t="s">
        <v>904</v>
      </c>
      <c r="B228" s="19" t="str">
        <f>VLOOKUP($A228,'MG Universe'!$A$2:$R$9994,2)</f>
        <v>HP Inc</v>
      </c>
      <c r="C228" s="19" t="str">
        <f>VLOOKUP($A228,'MG Universe'!$A$2:$R$9994,3)</f>
        <v>D+</v>
      </c>
      <c r="D228" s="19" t="str">
        <f>VLOOKUP($A228,'MG Universe'!$A$2:$R$9994,4)</f>
        <v>S</v>
      </c>
      <c r="E228" s="19" t="str">
        <f>VLOOKUP($A228,'MG Universe'!$A$2:$R$9994,5)</f>
        <v>O</v>
      </c>
      <c r="F228" s="20" t="str">
        <f>VLOOKUP($A228,'MG Universe'!$A$2:$R$9994,6)</f>
        <v>SO</v>
      </c>
      <c r="G228" s="103">
        <f>VLOOKUP($A228,'MG Universe'!$A$2:$R$9994,7)</f>
        <v>42033</v>
      </c>
      <c r="H228" s="22">
        <f>VLOOKUP($A228,'MG Universe'!$A$2:$R$9994,8)</f>
        <v>0</v>
      </c>
      <c r="I228" s="22">
        <f>VLOOKUP($A228,'MG Universe'!$A$2:$R$9994,9)</f>
        <v>10.9</v>
      </c>
      <c r="J228" s="23" t="str">
        <f>VLOOKUP($A228,'MG Universe'!$A$2:$R$9994,10)</f>
        <v>N/A</v>
      </c>
      <c r="K228" s="105">
        <f>VLOOKUP($A228,'MG Universe'!$A$2:$R$9994,11)</f>
        <v>11.12</v>
      </c>
      <c r="L228" s="23">
        <f>VLOOKUP($A228,'MG Universe'!$A$2:$R$9994,12)</f>
        <v>4.5900000000000003E-2</v>
      </c>
      <c r="M228" s="106">
        <f>VLOOKUP($A228,'MG Universe'!$A$2:$R$9994,13)</f>
        <v>1.6</v>
      </c>
      <c r="N228" s="107">
        <f>VLOOKUP($A228,'MG Universe'!$A$2:$R$9994,14)</f>
        <v>1.1499999999999999</v>
      </c>
      <c r="O228" s="22">
        <f>VLOOKUP($A228,'MG Universe'!$A$2:$R$9994,15)</f>
        <v>-13.79</v>
      </c>
      <c r="P228" s="23">
        <f>VLOOKUP($A228,'MG Universe'!$A$2:$R$9994,16)</f>
        <v>1.3100000000000001E-2</v>
      </c>
      <c r="Q228" s="109">
        <f>VLOOKUP($A228,'MG Universe'!$A$2:$R$9994,17)</f>
        <v>0</v>
      </c>
      <c r="R228" s="22">
        <f>VLOOKUP($A228,'MG Universe'!$A$2:$R$9994,18)</f>
        <v>0</v>
      </c>
    </row>
    <row r="229" spans="1:18" x14ac:dyDescent="0.55000000000000004">
      <c r="A229" s="18" t="s">
        <v>552</v>
      </c>
      <c r="B229" s="19" t="str">
        <f>VLOOKUP($A229,'MG Universe'!$A$2:$R$9994,2)</f>
        <v>H &amp; R Block Inc</v>
      </c>
      <c r="C229" s="19" t="str">
        <f>VLOOKUP($A229,'MG Universe'!$A$2:$R$9994,3)</f>
        <v>C-</v>
      </c>
      <c r="D229" s="19" t="str">
        <f>VLOOKUP($A229,'MG Universe'!$A$2:$R$9994,4)</f>
        <v>S</v>
      </c>
      <c r="E229" s="19" t="str">
        <f>VLOOKUP($A229,'MG Universe'!$A$2:$R$9994,5)</f>
        <v>U</v>
      </c>
      <c r="F229" s="20" t="str">
        <f>VLOOKUP($A229,'MG Universe'!$A$2:$R$9994,6)</f>
        <v>SU</v>
      </c>
      <c r="G229" s="103">
        <f>VLOOKUP($A229,'MG Universe'!$A$2:$R$9994,7)</f>
        <v>42052</v>
      </c>
      <c r="H229" s="22">
        <f>VLOOKUP($A229,'MG Universe'!$A$2:$R$9994,8)</f>
        <v>44.54</v>
      </c>
      <c r="I229" s="22">
        <f>VLOOKUP($A229,'MG Universe'!$A$2:$R$9994,9)</f>
        <v>32.590000000000003</v>
      </c>
      <c r="J229" s="23">
        <f>VLOOKUP($A229,'MG Universe'!$A$2:$R$9994,10)</f>
        <v>0.73170000000000002</v>
      </c>
      <c r="K229" s="105">
        <f>VLOOKUP($A229,'MG Universe'!$A$2:$R$9994,11)</f>
        <v>21.58</v>
      </c>
      <c r="L229" s="23">
        <f>VLOOKUP($A229,'MG Universe'!$A$2:$R$9994,12)</f>
        <v>2.4500000000000001E-2</v>
      </c>
      <c r="M229" s="106">
        <f>VLOOKUP($A229,'MG Universe'!$A$2:$R$9994,13)</f>
        <v>1</v>
      </c>
      <c r="N229" s="107">
        <f>VLOOKUP($A229,'MG Universe'!$A$2:$R$9994,14)</f>
        <v>1.35</v>
      </c>
      <c r="O229" s="22">
        <f>VLOOKUP($A229,'MG Universe'!$A$2:$R$9994,15)</f>
        <v>-1.44</v>
      </c>
      <c r="P229" s="23">
        <f>VLOOKUP($A229,'MG Universe'!$A$2:$R$9994,16)</f>
        <v>6.54E-2</v>
      </c>
      <c r="Q229" s="109">
        <f>VLOOKUP($A229,'MG Universe'!$A$2:$R$9994,17)</f>
        <v>0</v>
      </c>
      <c r="R229" s="22">
        <f>VLOOKUP($A229,'MG Universe'!$A$2:$R$9994,18)</f>
        <v>0</v>
      </c>
    </row>
    <row r="230" spans="1:18" x14ac:dyDescent="0.55000000000000004">
      <c r="A230" s="18" t="s">
        <v>672</v>
      </c>
      <c r="B230" s="19" t="str">
        <f>VLOOKUP($A230,'MG Universe'!$A$2:$R$9994,2)</f>
        <v>Hormel Foods Corp</v>
      </c>
      <c r="C230" s="19" t="str">
        <f>VLOOKUP($A230,'MG Universe'!$A$2:$R$9994,3)</f>
        <v>C+</v>
      </c>
      <c r="D230" s="19" t="str">
        <f>VLOOKUP($A230,'MG Universe'!$A$2:$R$9994,4)</f>
        <v>E</v>
      </c>
      <c r="E230" s="19" t="str">
        <f>VLOOKUP($A230,'MG Universe'!$A$2:$R$9994,5)</f>
        <v>O</v>
      </c>
      <c r="F230" s="20" t="str">
        <f>VLOOKUP($A230,'MG Universe'!$A$2:$R$9994,6)</f>
        <v>EO</v>
      </c>
      <c r="G230" s="103">
        <f>VLOOKUP($A230,'MG Universe'!$A$2:$R$9994,7)</f>
        <v>42415</v>
      </c>
      <c r="H230" s="22">
        <f>VLOOKUP($A230,'MG Universe'!$A$2:$R$9994,8)</f>
        <v>29.82</v>
      </c>
      <c r="I230" s="22">
        <f>VLOOKUP($A230,'MG Universe'!$A$2:$R$9994,9)</f>
        <v>43.35</v>
      </c>
      <c r="J230" s="23">
        <f>VLOOKUP($A230,'MG Universe'!$A$2:$R$9994,10)</f>
        <v>1.4537</v>
      </c>
      <c r="K230" s="105">
        <f>VLOOKUP($A230,'MG Universe'!$A$2:$R$9994,11)</f>
        <v>35.24</v>
      </c>
      <c r="L230" s="23">
        <f>VLOOKUP($A230,'MG Universe'!$A$2:$R$9994,12)</f>
        <v>1.34E-2</v>
      </c>
      <c r="M230" s="106">
        <f>VLOOKUP($A230,'MG Universe'!$A$2:$R$9994,13)</f>
        <v>0.7</v>
      </c>
      <c r="N230" s="107">
        <f>VLOOKUP($A230,'MG Universe'!$A$2:$R$9994,14)</f>
        <v>1.7</v>
      </c>
      <c r="O230" s="22">
        <f>VLOOKUP($A230,'MG Universe'!$A$2:$R$9994,15)</f>
        <v>-0.15</v>
      </c>
      <c r="P230" s="23">
        <f>VLOOKUP($A230,'MG Universe'!$A$2:$R$9994,16)</f>
        <v>0.13370000000000001</v>
      </c>
      <c r="Q230" s="109">
        <f>VLOOKUP($A230,'MG Universe'!$A$2:$R$9994,17)</f>
        <v>20</v>
      </c>
      <c r="R230" s="22">
        <f>VLOOKUP($A230,'MG Universe'!$A$2:$R$9994,18)</f>
        <v>15.42</v>
      </c>
    </row>
    <row r="231" spans="1:18" x14ac:dyDescent="0.55000000000000004">
      <c r="A231" s="18" t="s">
        <v>906</v>
      </c>
      <c r="B231" s="19" t="str">
        <f>VLOOKUP($A231,'MG Universe'!$A$2:$R$9994,2)</f>
        <v>Harris Corporation</v>
      </c>
      <c r="C231" s="19" t="str">
        <f>VLOOKUP($A231,'MG Universe'!$A$2:$R$9994,3)</f>
        <v>D+</v>
      </c>
      <c r="D231" s="19" t="str">
        <f>VLOOKUP($A231,'MG Universe'!$A$2:$R$9994,4)</f>
        <v>S</v>
      </c>
      <c r="E231" s="19" t="str">
        <f>VLOOKUP($A231,'MG Universe'!$A$2:$R$9994,5)</f>
        <v>O</v>
      </c>
      <c r="F231" s="20" t="str">
        <f>VLOOKUP($A231,'MG Universe'!$A$2:$R$9994,6)</f>
        <v>SO</v>
      </c>
      <c r="G231" s="103">
        <f>VLOOKUP($A231,'MG Universe'!$A$2:$R$9994,7)</f>
        <v>42418</v>
      </c>
      <c r="H231" s="22">
        <f>VLOOKUP($A231,'MG Universe'!$A$2:$R$9994,8)</f>
        <v>41.97</v>
      </c>
      <c r="I231" s="22">
        <f>VLOOKUP($A231,'MG Universe'!$A$2:$R$9994,9)</f>
        <v>80.150000000000006</v>
      </c>
      <c r="J231" s="23">
        <f>VLOOKUP($A231,'MG Universe'!$A$2:$R$9994,10)</f>
        <v>1.9097</v>
      </c>
      <c r="K231" s="105">
        <f>VLOOKUP($A231,'MG Universe'!$A$2:$R$9994,11)</f>
        <v>27.64</v>
      </c>
      <c r="L231" s="23">
        <f>VLOOKUP($A231,'MG Universe'!$A$2:$R$9994,12)</f>
        <v>2.5000000000000001E-2</v>
      </c>
      <c r="M231" s="106">
        <f>VLOOKUP($A231,'MG Universe'!$A$2:$R$9994,13)</f>
        <v>1.4</v>
      </c>
      <c r="N231" s="107">
        <f>VLOOKUP($A231,'MG Universe'!$A$2:$R$9994,14)</f>
        <v>1.33</v>
      </c>
      <c r="O231" s="22">
        <f>VLOOKUP($A231,'MG Universe'!$A$2:$R$9994,15)</f>
        <v>-48.55</v>
      </c>
      <c r="P231" s="23">
        <f>VLOOKUP($A231,'MG Universe'!$A$2:$R$9994,16)</f>
        <v>9.5699999999999993E-2</v>
      </c>
      <c r="Q231" s="109">
        <f>VLOOKUP($A231,'MG Universe'!$A$2:$R$9994,17)</f>
        <v>14</v>
      </c>
      <c r="R231" s="22">
        <f>VLOOKUP($A231,'MG Universe'!$A$2:$R$9994,18)</f>
        <v>40.57</v>
      </c>
    </row>
    <row r="232" spans="1:18" x14ac:dyDescent="0.55000000000000004">
      <c r="A232" s="18" t="s">
        <v>554</v>
      </c>
      <c r="B232" s="19" t="str">
        <f>VLOOKUP($A232,'MG Universe'!$A$2:$R$9994,2)</f>
        <v>Henry Schein, Inc.</v>
      </c>
      <c r="C232" s="19" t="str">
        <f>VLOOKUP($A232,'MG Universe'!$A$2:$R$9994,3)</f>
        <v>C-</v>
      </c>
      <c r="D232" s="19" t="str">
        <f>VLOOKUP($A232,'MG Universe'!$A$2:$R$9994,4)</f>
        <v>E</v>
      </c>
      <c r="E232" s="19" t="str">
        <f>VLOOKUP($A232,'MG Universe'!$A$2:$R$9994,5)</f>
        <v>O</v>
      </c>
      <c r="F232" s="20" t="str">
        <f>VLOOKUP($A232,'MG Universe'!$A$2:$R$9994,6)</f>
        <v>EO</v>
      </c>
      <c r="G232" s="103">
        <f>VLOOKUP($A232,'MG Universe'!$A$2:$R$9994,7)</f>
        <v>42401</v>
      </c>
      <c r="H232" s="22">
        <f>VLOOKUP($A232,'MG Universe'!$A$2:$R$9994,8)</f>
        <v>123.38</v>
      </c>
      <c r="I232" s="22">
        <f>VLOOKUP($A232,'MG Universe'!$A$2:$R$9994,9)</f>
        <v>168.93</v>
      </c>
      <c r="J232" s="23">
        <f>VLOOKUP($A232,'MG Universe'!$A$2:$R$9994,10)</f>
        <v>1.3692</v>
      </c>
      <c r="K232" s="105">
        <f>VLOOKUP($A232,'MG Universe'!$A$2:$R$9994,11)</f>
        <v>32.49</v>
      </c>
      <c r="L232" s="23" t="str">
        <f>VLOOKUP($A232,'MG Universe'!$A$2:$R$9994,12)</f>
        <v>N/A</v>
      </c>
      <c r="M232" s="106">
        <f>VLOOKUP($A232,'MG Universe'!$A$2:$R$9994,13)</f>
        <v>1</v>
      </c>
      <c r="N232" s="107">
        <f>VLOOKUP($A232,'MG Universe'!$A$2:$R$9994,14)</f>
        <v>1.74</v>
      </c>
      <c r="O232" s="22">
        <f>VLOOKUP($A232,'MG Universe'!$A$2:$R$9994,15)</f>
        <v>-3.71</v>
      </c>
      <c r="P232" s="23">
        <f>VLOOKUP($A232,'MG Universe'!$A$2:$R$9994,16)</f>
        <v>0.11990000000000001</v>
      </c>
      <c r="Q232" s="109">
        <f>VLOOKUP($A232,'MG Universe'!$A$2:$R$9994,17)</f>
        <v>0</v>
      </c>
      <c r="R232" s="22">
        <f>VLOOKUP($A232,'MG Universe'!$A$2:$R$9994,18)</f>
        <v>67.650000000000006</v>
      </c>
    </row>
    <row r="233" spans="1:18" x14ac:dyDescent="0.55000000000000004">
      <c r="A233" s="18" t="s">
        <v>1159</v>
      </c>
      <c r="B233" s="19" t="str">
        <f>VLOOKUP($A233,'MG Universe'!$A$2:$R$9994,2)</f>
        <v>Henry Schein, Inc.</v>
      </c>
      <c r="C233" s="19" t="str">
        <f>VLOOKUP($A233,'MG Universe'!$A$2:$R$9994,3)</f>
        <v>C-</v>
      </c>
      <c r="D233" s="19" t="str">
        <f>VLOOKUP($A233,'MG Universe'!$A$2:$R$9994,4)</f>
        <v>E</v>
      </c>
      <c r="E233" s="19" t="str">
        <f>VLOOKUP($A233,'MG Universe'!$A$2:$R$9994,5)</f>
        <v>O</v>
      </c>
      <c r="F233" s="20" t="str">
        <f>VLOOKUP($A233,'MG Universe'!$A$2:$R$9994,6)</f>
        <v>EO</v>
      </c>
      <c r="G233" s="103">
        <f>VLOOKUP($A233,'MG Universe'!$A$2:$R$9994,7)</f>
        <v>42401</v>
      </c>
      <c r="H233" s="22">
        <f>VLOOKUP($A233,'MG Universe'!$A$2:$R$9994,8)</f>
        <v>123.38</v>
      </c>
      <c r="I233" s="22">
        <f>VLOOKUP($A233,'MG Universe'!$A$2:$R$9994,9)</f>
        <v>168.93</v>
      </c>
      <c r="J233" s="23">
        <f>VLOOKUP($A233,'MG Universe'!$A$2:$R$9994,10)</f>
        <v>1.3692</v>
      </c>
      <c r="K233" s="105">
        <f>VLOOKUP($A233,'MG Universe'!$A$2:$R$9994,11)</f>
        <v>32.49</v>
      </c>
      <c r="L233" s="23" t="str">
        <f>VLOOKUP($A233,'MG Universe'!$A$2:$R$9994,12)</f>
        <v>N/A</v>
      </c>
      <c r="M233" s="106">
        <f>VLOOKUP($A233,'MG Universe'!$A$2:$R$9994,13)</f>
        <v>1</v>
      </c>
      <c r="N233" s="107">
        <f>VLOOKUP($A233,'MG Universe'!$A$2:$R$9994,14)</f>
        <v>1.74</v>
      </c>
      <c r="O233" s="22">
        <f>VLOOKUP($A233,'MG Universe'!$A$2:$R$9994,15)</f>
        <v>-3.71</v>
      </c>
      <c r="P233" s="23">
        <f>VLOOKUP($A233,'MG Universe'!$A$2:$R$9994,16)</f>
        <v>0.11990000000000001</v>
      </c>
      <c r="Q233" s="109">
        <f>VLOOKUP($A233,'MG Universe'!$A$2:$R$9994,17)</f>
        <v>0</v>
      </c>
      <c r="R233" s="22">
        <f>VLOOKUP($A233,'MG Universe'!$A$2:$R$9994,18)</f>
        <v>67.650000000000006</v>
      </c>
    </row>
    <row r="234" spans="1:18" x14ac:dyDescent="0.55000000000000004">
      <c r="A234" s="18" t="s">
        <v>398</v>
      </c>
      <c r="B234" s="19" t="str">
        <f>VLOOKUP($A234,'MG Universe'!$A$2:$R$9994,2)</f>
        <v>Host Hotels and Resorts Inc</v>
      </c>
      <c r="C234" s="19" t="str">
        <f>VLOOKUP($A234,'MG Universe'!$A$2:$R$9994,3)</f>
        <v>C</v>
      </c>
      <c r="D234" s="19" t="str">
        <f>VLOOKUP($A234,'MG Universe'!$A$2:$R$9994,4)</f>
        <v>S</v>
      </c>
      <c r="E234" s="19" t="str">
        <f>VLOOKUP($A234,'MG Universe'!$A$2:$R$9994,5)</f>
        <v>U</v>
      </c>
      <c r="F234" s="20" t="str">
        <f>VLOOKUP($A234,'MG Universe'!$A$2:$R$9994,6)</f>
        <v>SU</v>
      </c>
      <c r="G234" s="103">
        <f>VLOOKUP($A234,'MG Universe'!$A$2:$R$9994,7)</f>
        <v>42065</v>
      </c>
      <c r="H234" s="22">
        <f>VLOOKUP($A234,'MG Universe'!$A$2:$R$9994,8)</f>
        <v>23.54</v>
      </c>
      <c r="I234" s="22">
        <f>VLOOKUP($A234,'MG Universe'!$A$2:$R$9994,9)</f>
        <v>15.95</v>
      </c>
      <c r="J234" s="23">
        <f>VLOOKUP($A234,'MG Universe'!$A$2:$R$9994,10)</f>
        <v>0.67759999999999998</v>
      </c>
      <c r="K234" s="105">
        <f>VLOOKUP($A234,'MG Universe'!$A$2:$R$9994,11)</f>
        <v>26.15</v>
      </c>
      <c r="L234" s="23">
        <f>VLOOKUP($A234,'MG Universe'!$A$2:$R$9994,12)</f>
        <v>5.0200000000000002E-2</v>
      </c>
      <c r="M234" s="106">
        <f>VLOOKUP($A234,'MG Universe'!$A$2:$R$9994,13)</f>
        <v>1.6</v>
      </c>
      <c r="N234" s="107">
        <f>VLOOKUP($A234,'MG Universe'!$A$2:$R$9994,14)</f>
        <v>1.71</v>
      </c>
      <c r="O234" s="22">
        <f>VLOOKUP($A234,'MG Universe'!$A$2:$R$9994,15)</f>
        <v>-5.82</v>
      </c>
      <c r="P234" s="23">
        <f>VLOOKUP($A234,'MG Universe'!$A$2:$R$9994,16)</f>
        <v>8.8200000000000001E-2</v>
      </c>
      <c r="Q234" s="109">
        <f>VLOOKUP($A234,'MG Universe'!$A$2:$R$9994,17)</f>
        <v>0</v>
      </c>
      <c r="R234" s="22">
        <f>VLOOKUP($A234,'MG Universe'!$A$2:$R$9994,18)</f>
        <v>0</v>
      </c>
    </row>
    <row r="235" spans="1:18" x14ac:dyDescent="0.55000000000000004">
      <c r="A235" s="18" t="s">
        <v>556</v>
      </c>
      <c r="B235" s="19" t="str">
        <f>VLOOKUP($A235,'MG Universe'!$A$2:$R$9994,2)</f>
        <v>Hershey Co</v>
      </c>
      <c r="C235" s="19" t="str">
        <f>VLOOKUP($A235,'MG Universe'!$A$2:$R$9994,3)</f>
        <v>C-</v>
      </c>
      <c r="D235" s="19" t="str">
        <f>VLOOKUP($A235,'MG Universe'!$A$2:$R$9994,4)</f>
        <v>S</v>
      </c>
      <c r="E235" s="19" t="str">
        <f>VLOOKUP($A235,'MG Universe'!$A$2:$R$9994,5)</f>
        <v>F</v>
      </c>
      <c r="F235" s="20" t="str">
        <f>VLOOKUP($A235,'MG Universe'!$A$2:$R$9994,6)</f>
        <v>SF</v>
      </c>
      <c r="G235" s="103">
        <f>VLOOKUP($A235,'MG Universe'!$A$2:$R$9994,7)</f>
        <v>42029</v>
      </c>
      <c r="H235" s="22">
        <f>VLOOKUP($A235,'MG Universe'!$A$2:$R$9994,8)</f>
        <v>119.15</v>
      </c>
      <c r="I235" s="22">
        <f>VLOOKUP($A235,'MG Universe'!$A$2:$R$9994,9)</f>
        <v>92.27</v>
      </c>
      <c r="J235" s="23">
        <f>VLOOKUP($A235,'MG Universe'!$A$2:$R$9994,10)</f>
        <v>0.77439999999999998</v>
      </c>
      <c r="K235" s="105">
        <f>VLOOKUP($A235,'MG Universe'!$A$2:$R$9994,11)</f>
        <v>27.22</v>
      </c>
      <c r="L235" s="23">
        <f>VLOOKUP($A235,'MG Universe'!$A$2:$R$9994,12)</f>
        <v>2.53E-2</v>
      </c>
      <c r="M235" s="106">
        <f>VLOOKUP($A235,'MG Universe'!$A$2:$R$9994,13)</f>
        <v>0.2</v>
      </c>
      <c r="N235" s="107">
        <f>VLOOKUP($A235,'MG Universe'!$A$2:$R$9994,14)</f>
        <v>1.1599999999999999</v>
      </c>
      <c r="O235" s="22">
        <f>VLOOKUP($A235,'MG Universe'!$A$2:$R$9994,15)</f>
        <v>-8.2200000000000006</v>
      </c>
      <c r="P235" s="23">
        <f>VLOOKUP($A235,'MG Universe'!$A$2:$R$9994,16)</f>
        <v>9.3600000000000003E-2</v>
      </c>
      <c r="Q235" s="109">
        <f>VLOOKUP($A235,'MG Universe'!$A$2:$R$9994,17)</f>
        <v>0</v>
      </c>
      <c r="R235" s="22">
        <f>VLOOKUP($A235,'MG Universe'!$A$2:$R$9994,18)</f>
        <v>0</v>
      </c>
    </row>
    <row r="236" spans="1:18" x14ac:dyDescent="0.55000000000000004">
      <c r="A236" s="18" t="s">
        <v>558</v>
      </c>
      <c r="B236" s="19" t="str">
        <f>VLOOKUP($A236,'MG Universe'!$A$2:$R$9994,2)</f>
        <v>Humana Inc</v>
      </c>
      <c r="C236" s="19" t="str">
        <f>VLOOKUP($A236,'MG Universe'!$A$2:$R$9994,3)</f>
        <v>C-</v>
      </c>
      <c r="D236" s="19" t="str">
        <f>VLOOKUP($A236,'MG Universe'!$A$2:$R$9994,4)</f>
        <v>E</v>
      </c>
      <c r="E236" s="19" t="str">
        <f>VLOOKUP($A236,'MG Universe'!$A$2:$R$9994,5)</f>
        <v>O</v>
      </c>
      <c r="F236" s="20" t="str">
        <f>VLOOKUP($A236,'MG Universe'!$A$2:$R$9994,6)</f>
        <v>EO</v>
      </c>
      <c r="G236" s="103">
        <f>VLOOKUP($A236,'MG Universe'!$A$2:$R$9994,7)</f>
        <v>42415</v>
      </c>
      <c r="H236" s="22">
        <f>VLOOKUP($A236,'MG Universe'!$A$2:$R$9994,8)</f>
        <v>97.14</v>
      </c>
      <c r="I236" s="22">
        <f>VLOOKUP($A236,'MG Universe'!$A$2:$R$9994,9)</f>
        <v>182.7</v>
      </c>
      <c r="J236" s="23">
        <f>VLOOKUP($A236,'MG Universe'!$A$2:$R$9994,10)</f>
        <v>1.8808</v>
      </c>
      <c r="K236" s="105">
        <f>VLOOKUP($A236,'MG Universe'!$A$2:$R$9994,11)</f>
        <v>22.89</v>
      </c>
      <c r="L236" s="23">
        <f>VLOOKUP($A236,'MG Universe'!$A$2:$R$9994,12)</f>
        <v>6.3E-3</v>
      </c>
      <c r="M236" s="106">
        <f>VLOOKUP($A236,'MG Universe'!$A$2:$R$9994,13)</f>
        <v>0.9</v>
      </c>
      <c r="N236" s="107" t="str">
        <f>VLOOKUP($A236,'MG Universe'!$A$2:$R$9994,14)</f>
        <v>N/A</v>
      </c>
      <c r="O236" s="22" t="str">
        <f>VLOOKUP($A236,'MG Universe'!$A$2:$R$9994,15)</f>
        <v>N/A</v>
      </c>
      <c r="P236" s="23">
        <f>VLOOKUP($A236,'MG Universe'!$A$2:$R$9994,16)</f>
        <v>7.1999999999999995E-2</v>
      </c>
      <c r="Q236" s="109">
        <f>VLOOKUP($A236,'MG Universe'!$A$2:$R$9994,17)</f>
        <v>6</v>
      </c>
      <c r="R236" s="22">
        <f>VLOOKUP($A236,'MG Universe'!$A$2:$R$9994,18)</f>
        <v>113.48</v>
      </c>
    </row>
    <row r="237" spans="1:18" x14ac:dyDescent="0.55000000000000004">
      <c r="A237" s="18" t="s">
        <v>247</v>
      </c>
      <c r="B237" s="19" t="str">
        <f>VLOOKUP($A237,'MG Universe'!$A$2:$R$9994,2)</f>
        <v>International Business Machines Corp.</v>
      </c>
      <c r="C237" s="19" t="str">
        <f>VLOOKUP($A237,'MG Universe'!$A$2:$R$9994,3)</f>
        <v>B-</v>
      </c>
      <c r="D237" s="19" t="str">
        <f>VLOOKUP($A237,'MG Universe'!$A$2:$R$9994,4)</f>
        <v>S</v>
      </c>
      <c r="E237" s="19" t="str">
        <f>VLOOKUP($A237,'MG Universe'!$A$2:$R$9994,5)</f>
        <v>U</v>
      </c>
      <c r="F237" s="20" t="str">
        <f>VLOOKUP($A237,'MG Universe'!$A$2:$R$9994,6)</f>
        <v>SU</v>
      </c>
      <c r="G237" s="103">
        <f>VLOOKUP($A237,'MG Universe'!$A$2:$R$9994,7)</f>
        <v>42318</v>
      </c>
      <c r="H237" s="22">
        <f>VLOOKUP($A237,'MG Universe'!$A$2:$R$9994,8)</f>
        <v>200.54</v>
      </c>
      <c r="I237" s="22">
        <f>VLOOKUP($A237,'MG Universe'!$A$2:$R$9994,9)</f>
        <v>136.30000000000001</v>
      </c>
      <c r="J237" s="23">
        <f>VLOOKUP($A237,'MG Universe'!$A$2:$R$9994,10)</f>
        <v>0.67969999999999997</v>
      </c>
      <c r="K237" s="105">
        <f>VLOOKUP($A237,'MG Universe'!$A$2:$R$9994,11)</f>
        <v>10.130000000000001</v>
      </c>
      <c r="L237" s="23">
        <f>VLOOKUP($A237,'MG Universe'!$A$2:$R$9994,12)</f>
        <v>3.8199999999999998E-2</v>
      </c>
      <c r="M237" s="106">
        <f>VLOOKUP($A237,'MG Universe'!$A$2:$R$9994,13)</f>
        <v>0.6</v>
      </c>
      <c r="N237" s="107">
        <f>VLOOKUP($A237,'MG Universe'!$A$2:$R$9994,14)</f>
        <v>1.25</v>
      </c>
      <c r="O237" s="22">
        <f>VLOOKUP($A237,'MG Universe'!$A$2:$R$9994,15)</f>
        <v>-54.39</v>
      </c>
      <c r="P237" s="23">
        <f>VLOOKUP($A237,'MG Universe'!$A$2:$R$9994,16)</f>
        <v>8.0999999999999996E-3</v>
      </c>
      <c r="Q237" s="109">
        <f>VLOOKUP($A237,'MG Universe'!$A$2:$R$9994,17)</f>
        <v>20</v>
      </c>
      <c r="R237" s="22">
        <f>VLOOKUP($A237,'MG Universe'!$A$2:$R$9994,18)</f>
        <v>64.27</v>
      </c>
    </row>
    <row r="238" spans="1:18" x14ac:dyDescent="0.55000000000000004">
      <c r="A238" s="18" t="s">
        <v>1089</v>
      </c>
      <c r="B238" s="19" t="str">
        <f>VLOOKUP($A238,'MG Universe'!$A$2:$R$9994,2)</f>
        <v>Intercontinental Exchange Inc</v>
      </c>
      <c r="C238" s="19" t="str">
        <f>VLOOKUP($A238,'MG Universe'!$A$2:$R$9994,3)</f>
        <v>F</v>
      </c>
      <c r="D238" s="19" t="str">
        <f>VLOOKUP($A238,'MG Universe'!$A$2:$R$9994,4)</f>
        <v>S</v>
      </c>
      <c r="E238" s="19" t="str">
        <f>VLOOKUP($A238,'MG Universe'!$A$2:$R$9994,5)</f>
        <v>O</v>
      </c>
      <c r="F238" s="20" t="str">
        <f>VLOOKUP($A238,'MG Universe'!$A$2:$R$9994,6)</f>
        <v>SO</v>
      </c>
      <c r="G238" s="103">
        <f>VLOOKUP($A238,'MG Universe'!$A$2:$R$9994,7)</f>
        <v>42133</v>
      </c>
      <c r="H238" s="22">
        <f>VLOOKUP($A238,'MG Universe'!$A$2:$R$9994,8)</f>
        <v>186.8</v>
      </c>
      <c r="I238" s="22">
        <f>VLOOKUP($A238,'MG Universe'!$A$2:$R$9994,9)</f>
        <v>231.96</v>
      </c>
      <c r="J238" s="23">
        <f>VLOOKUP($A238,'MG Universe'!$A$2:$R$9994,10)</f>
        <v>1.2418</v>
      </c>
      <c r="K238" s="105">
        <f>VLOOKUP($A238,'MG Universe'!$A$2:$R$9994,11)</f>
        <v>28.96</v>
      </c>
      <c r="L238" s="23">
        <f>VLOOKUP($A238,'MG Universe'!$A$2:$R$9994,12)</f>
        <v>1.47E-2</v>
      </c>
      <c r="M238" s="106">
        <f>VLOOKUP($A238,'MG Universe'!$A$2:$R$9994,13)</f>
        <v>0.9</v>
      </c>
      <c r="N238" s="107">
        <f>VLOOKUP($A238,'MG Universe'!$A$2:$R$9994,14)</f>
        <v>0.99</v>
      </c>
      <c r="O238" s="22">
        <f>VLOOKUP($A238,'MG Universe'!$A$2:$R$9994,15)</f>
        <v>-50.4</v>
      </c>
      <c r="P238" s="23">
        <f>VLOOKUP($A238,'MG Universe'!$A$2:$R$9994,16)</f>
        <v>0.1023</v>
      </c>
      <c r="Q238" s="109">
        <f>VLOOKUP($A238,'MG Universe'!$A$2:$R$9994,17)</f>
        <v>0</v>
      </c>
      <c r="R238" s="22">
        <f>VLOOKUP($A238,'MG Universe'!$A$2:$R$9994,18)</f>
        <v>0</v>
      </c>
    </row>
    <row r="239" spans="1:18" x14ac:dyDescent="0.55000000000000004">
      <c r="A239" s="18" t="s">
        <v>251</v>
      </c>
      <c r="B239" s="19" t="str">
        <f>VLOOKUP($A239,'MG Universe'!$A$2:$R$9994,2)</f>
        <v>International Flavors &amp; Fragrances Inc</v>
      </c>
      <c r="C239" s="19" t="str">
        <f>VLOOKUP($A239,'MG Universe'!$A$2:$R$9994,3)</f>
        <v>B-</v>
      </c>
      <c r="D239" s="19" t="str">
        <f>VLOOKUP($A239,'MG Universe'!$A$2:$R$9994,4)</f>
        <v>E</v>
      </c>
      <c r="E239" s="19" t="str">
        <f>VLOOKUP($A239,'MG Universe'!$A$2:$R$9994,5)</f>
        <v>F</v>
      </c>
      <c r="F239" s="20" t="str">
        <f>VLOOKUP($A239,'MG Universe'!$A$2:$R$9994,6)</f>
        <v>EF</v>
      </c>
      <c r="G239" s="103">
        <f>VLOOKUP($A239,'MG Universe'!$A$2:$R$9994,7)</f>
        <v>42349</v>
      </c>
      <c r="H239" s="22">
        <f>VLOOKUP($A239,'MG Universe'!$A$2:$R$9994,8)</f>
        <v>111.02</v>
      </c>
      <c r="I239" s="22">
        <f>VLOOKUP($A239,'MG Universe'!$A$2:$R$9994,9)</f>
        <v>105.82</v>
      </c>
      <c r="J239" s="23">
        <f>VLOOKUP($A239,'MG Universe'!$A$2:$R$9994,10)</f>
        <v>0.95320000000000005</v>
      </c>
      <c r="K239" s="105">
        <f>VLOOKUP($A239,'MG Universe'!$A$2:$R$9994,11)</f>
        <v>23.05</v>
      </c>
      <c r="L239" s="23">
        <f>VLOOKUP($A239,'MG Universe'!$A$2:$R$9994,12)</f>
        <v>2.12E-2</v>
      </c>
      <c r="M239" s="106">
        <f>VLOOKUP($A239,'MG Universe'!$A$2:$R$9994,13)</f>
        <v>0.9</v>
      </c>
      <c r="N239" s="107">
        <f>VLOOKUP($A239,'MG Universe'!$A$2:$R$9994,14)</f>
        <v>2.38</v>
      </c>
      <c r="O239" s="22">
        <f>VLOOKUP($A239,'MG Universe'!$A$2:$R$9994,15)</f>
        <v>-8.44</v>
      </c>
      <c r="P239" s="23">
        <f>VLOOKUP($A239,'MG Universe'!$A$2:$R$9994,16)</f>
        <v>7.2800000000000004E-2</v>
      </c>
      <c r="Q239" s="109">
        <f>VLOOKUP($A239,'MG Universe'!$A$2:$R$9994,17)</f>
        <v>13</v>
      </c>
      <c r="R239" s="22">
        <f>VLOOKUP($A239,'MG Universe'!$A$2:$R$9994,18)</f>
        <v>48.47</v>
      </c>
    </row>
    <row r="240" spans="1:18" x14ac:dyDescent="0.55000000000000004">
      <c r="A240" s="18" t="s">
        <v>173</v>
      </c>
      <c r="B240" s="19" t="str">
        <f>VLOOKUP($A240,'MG Universe'!$A$2:$R$9994,2)</f>
        <v>Intel Corporation</v>
      </c>
      <c r="C240" s="19" t="str">
        <f>VLOOKUP($A240,'MG Universe'!$A$2:$R$9994,3)</f>
        <v>B</v>
      </c>
      <c r="D240" s="19" t="str">
        <f>VLOOKUP($A240,'MG Universe'!$A$2:$R$9994,4)</f>
        <v>D</v>
      </c>
      <c r="E240" s="19" t="str">
        <f>VLOOKUP($A240,'MG Universe'!$A$2:$R$9994,5)</f>
        <v>F</v>
      </c>
      <c r="F240" s="20" t="str">
        <f>VLOOKUP($A240,'MG Universe'!$A$2:$R$9994,6)</f>
        <v>DF</v>
      </c>
      <c r="G240" s="103">
        <f>VLOOKUP($A240,'MG Universe'!$A$2:$R$9994,7)</f>
        <v>42326</v>
      </c>
      <c r="H240" s="22">
        <f>VLOOKUP($A240,'MG Universe'!$A$2:$R$9994,8)</f>
        <v>37.07</v>
      </c>
      <c r="I240" s="22">
        <f>VLOOKUP($A240,'MG Universe'!$A$2:$R$9994,9)</f>
        <v>30.54</v>
      </c>
      <c r="J240" s="23">
        <f>VLOOKUP($A240,'MG Universe'!$A$2:$R$9994,10)</f>
        <v>0.82379999999999998</v>
      </c>
      <c r="K240" s="105">
        <f>VLOOKUP($A240,'MG Universe'!$A$2:$R$9994,11)</f>
        <v>14.07</v>
      </c>
      <c r="L240" s="23">
        <f>VLOOKUP($A240,'MG Universe'!$A$2:$R$9994,12)</f>
        <v>3.4099999999999998E-2</v>
      </c>
      <c r="M240" s="106">
        <f>VLOOKUP($A240,'MG Universe'!$A$2:$R$9994,13)</f>
        <v>1</v>
      </c>
      <c r="N240" s="107">
        <f>VLOOKUP($A240,'MG Universe'!$A$2:$R$9994,14)</f>
        <v>2.4</v>
      </c>
      <c r="O240" s="22">
        <f>VLOOKUP($A240,'MG Universe'!$A$2:$R$9994,15)</f>
        <v>-1.08</v>
      </c>
      <c r="P240" s="23">
        <f>VLOOKUP($A240,'MG Universe'!$A$2:$R$9994,16)</f>
        <v>2.7900000000000001E-2</v>
      </c>
      <c r="Q240" s="109">
        <f>VLOOKUP($A240,'MG Universe'!$A$2:$R$9994,17)</f>
        <v>1</v>
      </c>
      <c r="R240" s="22">
        <f>VLOOKUP($A240,'MG Universe'!$A$2:$R$9994,18)</f>
        <v>24.38</v>
      </c>
    </row>
    <row r="241" spans="1:18" x14ac:dyDescent="0.55000000000000004">
      <c r="A241" s="18" t="s">
        <v>1091</v>
      </c>
      <c r="B241" s="19" t="str">
        <f>VLOOKUP($A241,'MG Universe'!$A$2:$R$9994,2)</f>
        <v>Intuit Inc.</v>
      </c>
      <c r="C241" s="19" t="str">
        <f>VLOOKUP($A241,'MG Universe'!$A$2:$R$9994,3)</f>
        <v>F</v>
      </c>
      <c r="D241" s="19" t="str">
        <f>VLOOKUP($A241,'MG Universe'!$A$2:$R$9994,4)</f>
        <v>S</v>
      </c>
      <c r="E241" s="19" t="str">
        <f>VLOOKUP($A241,'MG Universe'!$A$2:$R$9994,5)</f>
        <v>O</v>
      </c>
      <c r="F241" s="20" t="str">
        <f>VLOOKUP($A241,'MG Universe'!$A$2:$R$9994,6)</f>
        <v>SO</v>
      </c>
      <c r="G241" s="103">
        <f>VLOOKUP($A241,'MG Universe'!$A$2:$R$9994,7)</f>
        <v>42394</v>
      </c>
      <c r="H241" s="22">
        <f>VLOOKUP($A241,'MG Universe'!$A$2:$R$9994,8)</f>
        <v>47.82</v>
      </c>
      <c r="I241" s="22">
        <f>VLOOKUP($A241,'MG Universe'!$A$2:$R$9994,9)</f>
        <v>98.63</v>
      </c>
      <c r="J241" s="23">
        <f>VLOOKUP($A241,'MG Universe'!$A$2:$R$9994,10)</f>
        <v>2.0625</v>
      </c>
      <c r="K241" s="105">
        <f>VLOOKUP($A241,'MG Universe'!$A$2:$R$9994,11)</f>
        <v>36.94</v>
      </c>
      <c r="L241" s="23">
        <f>VLOOKUP($A241,'MG Universe'!$A$2:$R$9994,12)</f>
        <v>1.2200000000000001E-2</v>
      </c>
      <c r="M241" s="106">
        <f>VLOOKUP($A241,'MG Universe'!$A$2:$R$9994,13)</f>
        <v>1</v>
      </c>
      <c r="N241" s="107">
        <f>VLOOKUP($A241,'MG Universe'!$A$2:$R$9994,14)</f>
        <v>0.76</v>
      </c>
      <c r="O241" s="22">
        <f>VLOOKUP($A241,'MG Universe'!$A$2:$R$9994,15)</f>
        <v>-4.9800000000000004</v>
      </c>
      <c r="P241" s="23">
        <f>VLOOKUP($A241,'MG Universe'!$A$2:$R$9994,16)</f>
        <v>0.14219999999999999</v>
      </c>
      <c r="Q241" s="109">
        <f>VLOOKUP($A241,'MG Universe'!$A$2:$R$9994,17)</f>
        <v>2</v>
      </c>
      <c r="R241" s="22">
        <f>VLOOKUP($A241,'MG Universe'!$A$2:$R$9994,18)</f>
        <v>17.579999999999998</v>
      </c>
    </row>
    <row r="242" spans="1:18" x14ac:dyDescent="0.55000000000000004">
      <c r="A242" s="18" t="s">
        <v>402</v>
      </c>
      <c r="B242" s="19" t="str">
        <f>VLOOKUP($A242,'MG Universe'!$A$2:$R$9994,2)</f>
        <v>International Paper Co</v>
      </c>
      <c r="C242" s="19" t="str">
        <f>VLOOKUP($A242,'MG Universe'!$A$2:$R$9994,3)</f>
        <v>C</v>
      </c>
      <c r="D242" s="19" t="str">
        <f>VLOOKUP($A242,'MG Universe'!$A$2:$R$9994,4)</f>
        <v>S</v>
      </c>
      <c r="E242" s="19" t="str">
        <f>VLOOKUP($A242,'MG Universe'!$A$2:$R$9994,5)</f>
        <v>U</v>
      </c>
      <c r="F242" s="20" t="str">
        <f>VLOOKUP($A242,'MG Universe'!$A$2:$R$9994,6)</f>
        <v>SU</v>
      </c>
      <c r="G242" s="103">
        <f>VLOOKUP($A242,'MG Universe'!$A$2:$R$9994,7)</f>
        <v>42349</v>
      </c>
      <c r="H242" s="22">
        <f>VLOOKUP($A242,'MG Universe'!$A$2:$R$9994,8)</f>
        <v>56.59</v>
      </c>
      <c r="I242" s="22">
        <f>VLOOKUP($A242,'MG Universe'!$A$2:$R$9994,9)</f>
        <v>36.78</v>
      </c>
      <c r="J242" s="23">
        <f>VLOOKUP($A242,'MG Universe'!$A$2:$R$9994,10)</f>
        <v>0.64990000000000003</v>
      </c>
      <c r="K242" s="105">
        <f>VLOOKUP($A242,'MG Universe'!$A$2:$R$9994,11)</f>
        <v>16.059999999999999</v>
      </c>
      <c r="L242" s="23">
        <f>VLOOKUP($A242,'MG Universe'!$A$2:$R$9994,12)</f>
        <v>4.7899999999999998E-2</v>
      </c>
      <c r="M242" s="106">
        <f>VLOOKUP($A242,'MG Universe'!$A$2:$R$9994,13)</f>
        <v>1.5</v>
      </c>
      <c r="N242" s="107">
        <f>VLOOKUP($A242,'MG Universe'!$A$2:$R$9994,14)</f>
        <v>1.34</v>
      </c>
      <c r="O242" s="22">
        <f>VLOOKUP($A242,'MG Universe'!$A$2:$R$9994,15)</f>
        <v>-35.64</v>
      </c>
      <c r="P242" s="23">
        <f>VLOOKUP($A242,'MG Universe'!$A$2:$R$9994,16)</f>
        <v>3.78E-2</v>
      </c>
      <c r="Q242" s="109">
        <f>VLOOKUP($A242,'MG Universe'!$A$2:$R$9994,17)</f>
        <v>6</v>
      </c>
      <c r="R242" s="22">
        <f>VLOOKUP($A242,'MG Universe'!$A$2:$R$9994,18)</f>
        <v>25.01</v>
      </c>
    </row>
    <row r="243" spans="1:18" x14ac:dyDescent="0.55000000000000004">
      <c r="A243" s="18" t="s">
        <v>404</v>
      </c>
      <c r="B243" s="19" t="str">
        <f>VLOOKUP($A243,'MG Universe'!$A$2:$R$9994,2)</f>
        <v>Interpublic Group of Companies Inc</v>
      </c>
      <c r="C243" s="19" t="str">
        <f>VLOOKUP($A243,'MG Universe'!$A$2:$R$9994,3)</f>
        <v>C</v>
      </c>
      <c r="D243" s="19" t="str">
        <f>VLOOKUP($A243,'MG Universe'!$A$2:$R$9994,4)</f>
        <v>S</v>
      </c>
      <c r="E243" s="19" t="str">
        <f>VLOOKUP($A243,'MG Universe'!$A$2:$R$9994,5)</f>
        <v>U</v>
      </c>
      <c r="F243" s="20" t="str">
        <f>VLOOKUP($A243,'MG Universe'!$A$2:$R$9994,6)</f>
        <v>SU</v>
      </c>
      <c r="G243" s="103">
        <f>VLOOKUP($A243,'MG Universe'!$A$2:$R$9994,7)</f>
        <v>42102</v>
      </c>
      <c r="H243" s="22">
        <f>VLOOKUP($A243,'MG Universe'!$A$2:$R$9994,8)</f>
        <v>34.159999999999997</v>
      </c>
      <c r="I243" s="22">
        <f>VLOOKUP($A243,'MG Universe'!$A$2:$R$9994,9)</f>
        <v>21.34</v>
      </c>
      <c r="J243" s="23">
        <f>VLOOKUP($A243,'MG Universe'!$A$2:$R$9994,10)</f>
        <v>0.62470000000000003</v>
      </c>
      <c r="K243" s="105">
        <f>VLOOKUP($A243,'MG Universe'!$A$2:$R$9994,11)</f>
        <v>23.98</v>
      </c>
      <c r="L243" s="23">
        <f>VLOOKUP($A243,'MG Universe'!$A$2:$R$9994,12)</f>
        <v>2.81E-2</v>
      </c>
      <c r="M243" s="106">
        <f>VLOOKUP($A243,'MG Universe'!$A$2:$R$9994,13)</f>
        <v>1.9</v>
      </c>
      <c r="N243" s="107">
        <f>VLOOKUP($A243,'MG Universe'!$A$2:$R$9994,14)</f>
        <v>1.05</v>
      </c>
      <c r="O243" s="22">
        <f>VLOOKUP($A243,'MG Universe'!$A$2:$R$9994,15)</f>
        <v>-6.72</v>
      </c>
      <c r="P243" s="23">
        <f>VLOOKUP($A243,'MG Universe'!$A$2:$R$9994,16)</f>
        <v>7.7399999999999997E-2</v>
      </c>
      <c r="Q243" s="109">
        <f>VLOOKUP($A243,'MG Universe'!$A$2:$R$9994,17)</f>
        <v>0</v>
      </c>
      <c r="R243" s="22">
        <f>VLOOKUP($A243,'MG Universe'!$A$2:$R$9994,18)</f>
        <v>0</v>
      </c>
    </row>
    <row r="244" spans="1:18" x14ac:dyDescent="0.55000000000000004">
      <c r="A244" s="18" t="s">
        <v>560</v>
      </c>
      <c r="B244" s="19" t="str">
        <f>VLOOKUP($A244,'MG Universe'!$A$2:$R$9994,2)</f>
        <v>Ingersoll-Rand PLC</v>
      </c>
      <c r="C244" s="19" t="str">
        <f>VLOOKUP($A244,'MG Universe'!$A$2:$R$9994,3)</f>
        <v>C-</v>
      </c>
      <c r="D244" s="19" t="str">
        <f>VLOOKUP($A244,'MG Universe'!$A$2:$R$9994,4)</f>
        <v>S</v>
      </c>
      <c r="E244" s="19" t="str">
        <f>VLOOKUP($A244,'MG Universe'!$A$2:$R$9994,5)</f>
        <v>U</v>
      </c>
      <c r="F244" s="20" t="str">
        <f>VLOOKUP($A244,'MG Universe'!$A$2:$R$9994,6)</f>
        <v>SU</v>
      </c>
      <c r="G244" s="103">
        <f>VLOOKUP($A244,'MG Universe'!$A$2:$R$9994,7)</f>
        <v>42034</v>
      </c>
      <c r="H244" s="22">
        <f>VLOOKUP($A244,'MG Universe'!$A$2:$R$9994,8)</f>
        <v>103.13</v>
      </c>
      <c r="I244" s="22">
        <f>VLOOKUP($A244,'MG Universe'!$A$2:$R$9994,9)</f>
        <v>57.23</v>
      </c>
      <c r="J244" s="23">
        <f>VLOOKUP($A244,'MG Universe'!$A$2:$R$9994,10)</f>
        <v>0.55489999999999995</v>
      </c>
      <c r="K244" s="105">
        <f>VLOOKUP($A244,'MG Universe'!$A$2:$R$9994,11)</f>
        <v>21.35</v>
      </c>
      <c r="L244" s="23">
        <f>VLOOKUP($A244,'MG Universe'!$A$2:$R$9994,12)</f>
        <v>2.24E-2</v>
      </c>
      <c r="M244" s="106">
        <f>VLOOKUP($A244,'MG Universe'!$A$2:$R$9994,13)</f>
        <v>1.5</v>
      </c>
      <c r="N244" s="107">
        <f>VLOOKUP($A244,'MG Universe'!$A$2:$R$9994,14)</f>
        <v>1.25</v>
      </c>
      <c r="O244" s="22">
        <f>VLOOKUP($A244,'MG Universe'!$A$2:$R$9994,15)</f>
        <v>-19.96</v>
      </c>
      <c r="P244" s="23">
        <f>VLOOKUP($A244,'MG Universe'!$A$2:$R$9994,16)</f>
        <v>6.4299999999999996E-2</v>
      </c>
      <c r="Q244" s="109">
        <f>VLOOKUP($A244,'MG Universe'!$A$2:$R$9994,17)</f>
        <v>0</v>
      </c>
      <c r="R244" s="22">
        <f>VLOOKUP($A244,'MG Universe'!$A$2:$R$9994,18)</f>
        <v>0</v>
      </c>
    </row>
    <row r="245" spans="1:18" x14ac:dyDescent="0.55000000000000004">
      <c r="A245" s="18" t="s">
        <v>406</v>
      </c>
      <c r="B245" s="19" t="str">
        <f>VLOOKUP($A245,'MG Universe'!$A$2:$R$9994,2)</f>
        <v>Iron Mountain Inc</v>
      </c>
      <c r="C245" s="19" t="str">
        <f>VLOOKUP($A245,'MG Universe'!$A$2:$R$9994,3)</f>
        <v>C</v>
      </c>
      <c r="D245" s="19" t="str">
        <f>VLOOKUP($A245,'MG Universe'!$A$2:$R$9994,4)</f>
        <v>S</v>
      </c>
      <c r="E245" s="19" t="str">
        <f>VLOOKUP($A245,'MG Universe'!$A$2:$R$9994,5)</f>
        <v>U</v>
      </c>
      <c r="F245" s="20" t="str">
        <f>VLOOKUP($A245,'MG Universe'!$A$2:$R$9994,6)</f>
        <v>SU</v>
      </c>
      <c r="G245" s="103">
        <f>VLOOKUP($A245,'MG Universe'!$A$2:$R$9994,7)</f>
        <v>42148</v>
      </c>
      <c r="H245" s="22">
        <f>VLOOKUP($A245,'MG Universe'!$A$2:$R$9994,8)</f>
        <v>41.8</v>
      </c>
      <c r="I245" s="22">
        <f>VLOOKUP($A245,'MG Universe'!$A$2:$R$9994,9)</f>
        <v>29.99</v>
      </c>
      <c r="J245" s="23">
        <f>VLOOKUP($A245,'MG Universe'!$A$2:$R$9994,10)</f>
        <v>0.71750000000000003</v>
      </c>
      <c r="K245" s="105">
        <f>VLOOKUP($A245,'MG Universe'!$A$2:$R$9994,11)</f>
        <v>19.989999999999998</v>
      </c>
      <c r="L245" s="23">
        <f>VLOOKUP($A245,'MG Universe'!$A$2:$R$9994,12)</f>
        <v>6.4699999999999994E-2</v>
      </c>
      <c r="M245" s="106">
        <f>VLOOKUP($A245,'MG Universe'!$A$2:$R$9994,13)</f>
        <v>0.5</v>
      </c>
      <c r="N245" s="107">
        <f>VLOOKUP($A245,'MG Universe'!$A$2:$R$9994,14)</f>
        <v>1.23</v>
      </c>
      <c r="O245" s="22">
        <f>VLOOKUP($A245,'MG Universe'!$A$2:$R$9994,15)</f>
        <v>-22.35</v>
      </c>
      <c r="P245" s="23">
        <f>VLOOKUP($A245,'MG Universe'!$A$2:$R$9994,16)</f>
        <v>5.7500000000000002E-2</v>
      </c>
      <c r="Q245" s="109">
        <f>VLOOKUP($A245,'MG Universe'!$A$2:$R$9994,17)</f>
        <v>0</v>
      </c>
      <c r="R245" s="22">
        <f>VLOOKUP($A245,'MG Universe'!$A$2:$R$9994,18)</f>
        <v>0</v>
      </c>
    </row>
    <row r="246" spans="1:18" x14ac:dyDescent="0.55000000000000004">
      <c r="A246" s="18" t="s">
        <v>562</v>
      </c>
      <c r="B246" s="19" t="str">
        <f>VLOOKUP($A246,'MG Universe'!$A$2:$R$9994,2)</f>
        <v>Intuitive Surgical, Inc.</v>
      </c>
      <c r="C246" s="19" t="str">
        <f>VLOOKUP($A246,'MG Universe'!$A$2:$R$9994,3)</f>
        <v>C-</v>
      </c>
      <c r="D246" s="19" t="str">
        <f>VLOOKUP($A246,'MG Universe'!$A$2:$R$9994,4)</f>
        <v>E</v>
      </c>
      <c r="E246" s="19" t="str">
        <f>VLOOKUP($A246,'MG Universe'!$A$2:$R$9994,5)</f>
        <v>O</v>
      </c>
      <c r="F246" s="20" t="str">
        <f>VLOOKUP($A246,'MG Universe'!$A$2:$R$9994,6)</f>
        <v>EO</v>
      </c>
      <c r="G246" s="103">
        <f>VLOOKUP($A246,'MG Universe'!$A$2:$R$9994,7)</f>
        <v>42399</v>
      </c>
      <c r="H246" s="22">
        <f>VLOOKUP($A246,'MG Universe'!$A$2:$R$9994,8)</f>
        <v>296.13</v>
      </c>
      <c r="I246" s="22">
        <f>VLOOKUP($A246,'MG Universe'!$A$2:$R$9994,9)</f>
        <v>573.80999999999995</v>
      </c>
      <c r="J246" s="23">
        <f>VLOOKUP($A246,'MG Universe'!$A$2:$R$9994,10)</f>
        <v>1.9377</v>
      </c>
      <c r="K246" s="105">
        <f>VLOOKUP($A246,'MG Universe'!$A$2:$R$9994,11)</f>
        <v>36.619999999999997</v>
      </c>
      <c r="L246" s="23" t="str">
        <f>VLOOKUP($A246,'MG Universe'!$A$2:$R$9994,12)</f>
        <v>N/A</v>
      </c>
      <c r="M246" s="106">
        <f>VLOOKUP($A246,'MG Universe'!$A$2:$R$9994,13)</f>
        <v>0.7</v>
      </c>
      <c r="N246" s="107">
        <f>VLOOKUP($A246,'MG Universe'!$A$2:$R$9994,14)</f>
        <v>6.65</v>
      </c>
      <c r="O246" s="22">
        <f>VLOOKUP($A246,'MG Universe'!$A$2:$R$9994,15)</f>
        <v>89.07</v>
      </c>
      <c r="P246" s="23">
        <f>VLOOKUP($A246,'MG Universe'!$A$2:$R$9994,16)</f>
        <v>0.1406</v>
      </c>
      <c r="Q246" s="109">
        <f>VLOOKUP($A246,'MG Universe'!$A$2:$R$9994,17)</f>
        <v>0</v>
      </c>
      <c r="R246" s="22">
        <f>VLOOKUP($A246,'MG Universe'!$A$2:$R$9994,18)</f>
        <v>221.73</v>
      </c>
    </row>
    <row r="247" spans="1:18" x14ac:dyDescent="0.55000000000000004">
      <c r="A247" s="18" t="s">
        <v>51</v>
      </c>
      <c r="B247" s="19" t="str">
        <f>VLOOKUP($A247,'MG Universe'!$A$2:$R$9994,2)</f>
        <v>Illinois Tool Works Inc.</v>
      </c>
      <c r="C247" s="19" t="str">
        <f>VLOOKUP($A247,'MG Universe'!$A$2:$R$9994,3)</f>
        <v>A</v>
      </c>
      <c r="D247" s="19" t="str">
        <f>VLOOKUP($A247,'MG Universe'!$A$2:$R$9994,4)</f>
        <v>D</v>
      </c>
      <c r="E247" s="19" t="str">
        <f>VLOOKUP($A247,'MG Universe'!$A$2:$R$9994,5)</f>
        <v>U</v>
      </c>
      <c r="F247" s="20" t="str">
        <f>VLOOKUP($A247,'MG Universe'!$A$2:$R$9994,6)</f>
        <v>DU</v>
      </c>
      <c r="G247" s="103">
        <f>VLOOKUP($A247,'MG Universe'!$A$2:$R$9994,7)</f>
        <v>42374</v>
      </c>
      <c r="H247" s="22">
        <f>VLOOKUP($A247,'MG Universe'!$A$2:$R$9994,8)</f>
        <v>164.31</v>
      </c>
      <c r="I247" s="22">
        <f>VLOOKUP($A247,'MG Universe'!$A$2:$R$9994,9)</f>
        <v>97.02</v>
      </c>
      <c r="J247" s="23">
        <f>VLOOKUP($A247,'MG Universe'!$A$2:$R$9994,10)</f>
        <v>0.59050000000000002</v>
      </c>
      <c r="K247" s="105">
        <f>VLOOKUP($A247,'MG Universe'!$A$2:$R$9994,11)</f>
        <v>17.739999999999998</v>
      </c>
      <c r="L247" s="23">
        <f>VLOOKUP($A247,'MG Universe'!$A$2:$R$9994,12)</f>
        <v>2.2700000000000001E-2</v>
      </c>
      <c r="M247" s="106">
        <f>VLOOKUP($A247,'MG Universe'!$A$2:$R$9994,13)</f>
        <v>1.2</v>
      </c>
      <c r="N247" s="107">
        <f>VLOOKUP($A247,'MG Universe'!$A$2:$R$9994,14)</f>
        <v>2.56</v>
      </c>
      <c r="O247" s="22">
        <f>VLOOKUP($A247,'MG Universe'!$A$2:$R$9994,15)</f>
        <v>-11.03</v>
      </c>
      <c r="P247" s="23">
        <f>VLOOKUP($A247,'MG Universe'!$A$2:$R$9994,16)</f>
        <v>4.6199999999999998E-2</v>
      </c>
      <c r="Q247" s="109">
        <f>VLOOKUP($A247,'MG Universe'!$A$2:$R$9994,17)</f>
        <v>20</v>
      </c>
      <c r="R247" s="22">
        <f>VLOOKUP($A247,'MG Universe'!$A$2:$R$9994,18)</f>
        <v>39.99</v>
      </c>
    </row>
    <row r="248" spans="1:18" x14ac:dyDescent="0.55000000000000004">
      <c r="A248" s="18" t="s">
        <v>53</v>
      </c>
      <c r="B248" s="19" t="str">
        <f>VLOOKUP($A248,'MG Universe'!$A$2:$R$9994,2)</f>
        <v>Invesco Ltd.</v>
      </c>
      <c r="C248" s="19" t="str">
        <f>VLOOKUP($A248,'MG Universe'!$A$2:$R$9994,3)</f>
        <v>A</v>
      </c>
      <c r="D248" s="19" t="str">
        <f>VLOOKUP($A248,'MG Universe'!$A$2:$R$9994,4)</f>
        <v>D</v>
      </c>
      <c r="E248" s="19" t="str">
        <f>VLOOKUP($A248,'MG Universe'!$A$2:$R$9994,5)</f>
        <v>U</v>
      </c>
      <c r="F248" s="20" t="str">
        <f>VLOOKUP($A248,'MG Universe'!$A$2:$R$9994,6)</f>
        <v>DU</v>
      </c>
      <c r="G248" s="103">
        <f>VLOOKUP($A248,'MG Universe'!$A$2:$R$9994,7)</f>
        <v>42394</v>
      </c>
      <c r="H248" s="22">
        <f>VLOOKUP($A248,'MG Universe'!$A$2:$R$9994,8)</f>
        <v>64.97</v>
      </c>
      <c r="I248" s="22">
        <f>VLOOKUP($A248,'MG Universe'!$A$2:$R$9994,9)</f>
        <v>28.23</v>
      </c>
      <c r="J248" s="23">
        <f>VLOOKUP($A248,'MG Universe'!$A$2:$R$9994,10)</f>
        <v>0.4345</v>
      </c>
      <c r="K248" s="105">
        <f>VLOOKUP($A248,'MG Universe'!$A$2:$R$9994,11)</f>
        <v>13.32</v>
      </c>
      <c r="L248" s="23">
        <f>VLOOKUP($A248,'MG Universe'!$A$2:$R$9994,12)</f>
        <v>3.8300000000000001E-2</v>
      </c>
      <c r="M248" s="106">
        <f>VLOOKUP($A248,'MG Universe'!$A$2:$R$9994,13)</f>
        <v>1.9</v>
      </c>
      <c r="N248" s="107">
        <f>VLOOKUP($A248,'MG Universe'!$A$2:$R$9994,14)</f>
        <v>0.62</v>
      </c>
      <c r="O248" s="22">
        <f>VLOOKUP($A248,'MG Universe'!$A$2:$R$9994,15)</f>
        <v>-28.64</v>
      </c>
      <c r="P248" s="23">
        <f>VLOOKUP($A248,'MG Universe'!$A$2:$R$9994,16)</f>
        <v>2.41E-2</v>
      </c>
      <c r="Q248" s="109">
        <f>VLOOKUP($A248,'MG Universe'!$A$2:$R$9994,17)</f>
        <v>6</v>
      </c>
      <c r="R248" s="22">
        <f>VLOOKUP($A248,'MG Universe'!$A$2:$R$9994,18)</f>
        <v>31.84</v>
      </c>
    </row>
    <row r="249" spans="1:18" x14ac:dyDescent="0.55000000000000004">
      <c r="A249" s="18" t="s">
        <v>408</v>
      </c>
      <c r="B249" s="19" t="str">
        <f>VLOOKUP($A249,'MG Universe'!$A$2:$R$9994,2)</f>
        <v>Johnson Controls Inc</v>
      </c>
      <c r="C249" s="19" t="str">
        <f>VLOOKUP($A249,'MG Universe'!$A$2:$R$9994,3)</f>
        <v>C</v>
      </c>
      <c r="D249" s="19" t="str">
        <f>VLOOKUP($A249,'MG Universe'!$A$2:$R$9994,4)</f>
        <v>S</v>
      </c>
      <c r="E249" s="19" t="str">
        <f>VLOOKUP($A249,'MG Universe'!$A$2:$R$9994,5)</f>
        <v>U</v>
      </c>
      <c r="F249" s="20" t="str">
        <f>VLOOKUP($A249,'MG Universe'!$A$2:$R$9994,6)</f>
        <v>SU</v>
      </c>
      <c r="G249" s="103">
        <f>VLOOKUP($A249,'MG Universe'!$A$2:$R$9994,7)</f>
        <v>42057</v>
      </c>
      <c r="H249" s="22">
        <f>VLOOKUP($A249,'MG Universe'!$A$2:$R$9994,8)</f>
        <v>61.55</v>
      </c>
      <c r="I249" s="22">
        <f>VLOOKUP($A249,'MG Universe'!$A$2:$R$9994,9)</f>
        <v>37.520000000000003</v>
      </c>
      <c r="J249" s="23">
        <f>VLOOKUP($A249,'MG Universe'!$A$2:$R$9994,10)</f>
        <v>0.60960000000000003</v>
      </c>
      <c r="K249" s="105">
        <f>VLOOKUP($A249,'MG Universe'!$A$2:$R$9994,11)</f>
        <v>16.239999999999998</v>
      </c>
      <c r="L249" s="23">
        <f>VLOOKUP($A249,'MG Universe'!$A$2:$R$9994,12)</f>
        <v>3.09E-2</v>
      </c>
      <c r="M249" s="106">
        <f>VLOOKUP($A249,'MG Universe'!$A$2:$R$9994,13)</f>
        <v>1.7</v>
      </c>
      <c r="N249" s="107">
        <f>VLOOKUP($A249,'MG Universe'!$A$2:$R$9994,14)</f>
        <v>1.0900000000000001</v>
      </c>
      <c r="O249" s="22">
        <f>VLOOKUP($A249,'MG Universe'!$A$2:$R$9994,15)</f>
        <v>-12.73</v>
      </c>
      <c r="P249" s="23">
        <f>VLOOKUP($A249,'MG Universe'!$A$2:$R$9994,16)</f>
        <v>3.8699999999999998E-2</v>
      </c>
      <c r="Q249" s="109">
        <f>VLOOKUP($A249,'MG Universe'!$A$2:$R$9994,17)</f>
        <v>0</v>
      </c>
      <c r="R249" s="22">
        <f>VLOOKUP($A249,'MG Universe'!$A$2:$R$9994,18)</f>
        <v>0</v>
      </c>
    </row>
    <row r="250" spans="1:18" x14ac:dyDescent="0.55000000000000004">
      <c r="A250" s="18" t="s">
        <v>253</v>
      </c>
      <c r="B250" s="19" t="str">
        <f>VLOOKUP($A250,'MG Universe'!$A$2:$R$9994,2)</f>
        <v>Jacobs Engineering Group Inc</v>
      </c>
      <c r="C250" s="19" t="str">
        <f>VLOOKUP($A250,'MG Universe'!$A$2:$R$9994,3)</f>
        <v>B-</v>
      </c>
      <c r="D250" s="19" t="str">
        <f>VLOOKUP($A250,'MG Universe'!$A$2:$R$9994,4)</f>
        <v>E</v>
      </c>
      <c r="E250" s="19" t="str">
        <f>VLOOKUP($A250,'MG Universe'!$A$2:$R$9994,5)</f>
        <v>O</v>
      </c>
      <c r="F250" s="20" t="str">
        <f>VLOOKUP($A250,'MG Universe'!$A$2:$R$9994,6)</f>
        <v>EO</v>
      </c>
      <c r="G250" s="103">
        <f>VLOOKUP($A250,'MG Universe'!$A$2:$R$9994,7)</f>
        <v>42396</v>
      </c>
      <c r="H250" s="22">
        <f>VLOOKUP($A250,'MG Universe'!$A$2:$R$9994,8)</f>
        <v>24.3</v>
      </c>
      <c r="I250" s="22">
        <f>VLOOKUP($A250,'MG Universe'!$A$2:$R$9994,9)</f>
        <v>39.979999999999997</v>
      </c>
      <c r="J250" s="23">
        <f>VLOOKUP($A250,'MG Universe'!$A$2:$R$9994,10)</f>
        <v>1.6453</v>
      </c>
      <c r="K250" s="105">
        <f>VLOOKUP($A250,'MG Universe'!$A$2:$R$9994,11)</f>
        <v>14.54</v>
      </c>
      <c r="L250" s="23" t="str">
        <f>VLOOKUP($A250,'MG Universe'!$A$2:$R$9994,12)</f>
        <v>N/A</v>
      </c>
      <c r="M250" s="106">
        <f>VLOOKUP($A250,'MG Universe'!$A$2:$R$9994,13)</f>
        <v>1.6</v>
      </c>
      <c r="N250" s="107">
        <f>VLOOKUP($A250,'MG Universe'!$A$2:$R$9994,14)</f>
        <v>1.66</v>
      </c>
      <c r="O250" s="22">
        <f>VLOOKUP($A250,'MG Universe'!$A$2:$R$9994,15)</f>
        <v>-1.72</v>
      </c>
      <c r="P250" s="23">
        <f>VLOOKUP($A250,'MG Universe'!$A$2:$R$9994,16)</f>
        <v>3.0200000000000001E-2</v>
      </c>
      <c r="Q250" s="109">
        <f>VLOOKUP($A250,'MG Universe'!$A$2:$R$9994,17)</f>
        <v>0</v>
      </c>
      <c r="R250" s="22">
        <f>VLOOKUP($A250,'MG Universe'!$A$2:$R$9994,18)</f>
        <v>48.18</v>
      </c>
    </row>
    <row r="251" spans="1:18" x14ac:dyDescent="0.55000000000000004">
      <c r="A251" s="18" t="s">
        <v>322</v>
      </c>
      <c r="B251" s="19" t="str">
        <f>VLOOKUP($A251,'MG Universe'!$A$2:$R$9994,2)</f>
        <v>Johnson &amp; Johnson</v>
      </c>
      <c r="C251" s="19" t="str">
        <f>VLOOKUP($A251,'MG Universe'!$A$2:$R$9994,3)</f>
        <v>B+</v>
      </c>
      <c r="D251" s="19" t="str">
        <f>VLOOKUP($A251,'MG Universe'!$A$2:$R$9994,4)</f>
        <v>D</v>
      </c>
      <c r="E251" s="19" t="str">
        <f>VLOOKUP($A251,'MG Universe'!$A$2:$R$9994,5)</f>
        <v>O</v>
      </c>
      <c r="F251" s="20" t="str">
        <f>VLOOKUP($A251,'MG Universe'!$A$2:$R$9994,6)</f>
        <v>DO</v>
      </c>
      <c r="G251" s="103">
        <f>VLOOKUP($A251,'MG Universe'!$A$2:$R$9994,7)</f>
        <v>42377</v>
      </c>
      <c r="H251" s="22">
        <f>VLOOKUP($A251,'MG Universe'!$A$2:$R$9994,8)</f>
        <v>79.55</v>
      </c>
      <c r="I251" s="22">
        <f>VLOOKUP($A251,'MG Universe'!$A$2:$R$9994,9)</f>
        <v>107.05</v>
      </c>
      <c r="J251" s="23">
        <f>VLOOKUP($A251,'MG Universe'!$A$2:$R$9994,10)</f>
        <v>1.3456999999999999</v>
      </c>
      <c r="K251" s="105">
        <f>VLOOKUP($A251,'MG Universe'!$A$2:$R$9994,11)</f>
        <v>20.83</v>
      </c>
      <c r="L251" s="23">
        <f>VLOOKUP($A251,'MG Universe'!$A$2:$R$9994,12)</f>
        <v>2.8000000000000001E-2</v>
      </c>
      <c r="M251" s="106">
        <f>VLOOKUP($A251,'MG Universe'!$A$2:$R$9994,13)</f>
        <v>0.6</v>
      </c>
      <c r="N251" s="107">
        <f>VLOOKUP($A251,'MG Universe'!$A$2:$R$9994,14)</f>
        <v>2.5099999999999998</v>
      </c>
      <c r="O251" s="22">
        <f>VLOOKUP($A251,'MG Universe'!$A$2:$R$9994,15)</f>
        <v>0.63</v>
      </c>
      <c r="P251" s="23">
        <f>VLOOKUP($A251,'MG Universe'!$A$2:$R$9994,16)</f>
        <v>6.1600000000000002E-2</v>
      </c>
      <c r="Q251" s="109">
        <f>VLOOKUP($A251,'MG Universe'!$A$2:$R$9994,17)</f>
        <v>20</v>
      </c>
      <c r="R251" s="22">
        <f>VLOOKUP($A251,'MG Universe'!$A$2:$R$9994,18)</f>
        <v>57.74</v>
      </c>
    </row>
    <row r="252" spans="1:18" x14ac:dyDescent="0.55000000000000004">
      <c r="A252" s="18" t="s">
        <v>1093</v>
      </c>
      <c r="B252" s="19" t="str">
        <f>VLOOKUP($A252,'MG Universe'!$A$2:$R$9994,2)</f>
        <v>Juniper Networks, Inc.</v>
      </c>
      <c r="C252" s="19" t="str">
        <f>VLOOKUP($A252,'MG Universe'!$A$2:$R$9994,3)</f>
        <v>F</v>
      </c>
      <c r="D252" s="19" t="str">
        <f>VLOOKUP($A252,'MG Universe'!$A$2:$R$9994,4)</f>
        <v>S</v>
      </c>
      <c r="E252" s="19" t="str">
        <f>VLOOKUP($A252,'MG Universe'!$A$2:$R$9994,5)</f>
        <v>O</v>
      </c>
      <c r="F252" s="20" t="str">
        <f>VLOOKUP($A252,'MG Universe'!$A$2:$R$9994,6)</f>
        <v>SO</v>
      </c>
      <c r="G252" s="103">
        <f>VLOOKUP($A252,'MG Universe'!$A$2:$R$9994,7)</f>
        <v>42033</v>
      </c>
      <c r="H252" s="22">
        <f>VLOOKUP($A252,'MG Universe'!$A$2:$R$9994,8)</f>
        <v>0</v>
      </c>
      <c r="I252" s="22">
        <f>VLOOKUP($A252,'MG Universe'!$A$2:$R$9994,9)</f>
        <v>24.94</v>
      </c>
      <c r="J252" s="23" t="str">
        <f>VLOOKUP($A252,'MG Universe'!$A$2:$R$9994,10)</f>
        <v>N/A</v>
      </c>
      <c r="K252" s="105">
        <f>VLOOKUP($A252,'MG Universe'!$A$2:$R$9994,11)</f>
        <v>103.92</v>
      </c>
      <c r="L252" s="23">
        <f>VLOOKUP($A252,'MG Universe'!$A$2:$R$9994,12)</f>
        <v>1.6E-2</v>
      </c>
      <c r="M252" s="106">
        <f>VLOOKUP($A252,'MG Universe'!$A$2:$R$9994,13)</f>
        <v>2</v>
      </c>
      <c r="N252" s="107">
        <f>VLOOKUP($A252,'MG Universe'!$A$2:$R$9994,14)</f>
        <v>1.95</v>
      </c>
      <c r="O252" s="22">
        <f>VLOOKUP($A252,'MG Universe'!$A$2:$R$9994,15)</f>
        <v>-1.2</v>
      </c>
      <c r="P252" s="23">
        <f>VLOOKUP($A252,'MG Universe'!$A$2:$R$9994,16)</f>
        <v>0.47710000000000002</v>
      </c>
      <c r="Q252" s="109">
        <f>VLOOKUP($A252,'MG Universe'!$A$2:$R$9994,17)</f>
        <v>0</v>
      </c>
      <c r="R252" s="22">
        <f>VLOOKUP($A252,'MG Universe'!$A$2:$R$9994,18)</f>
        <v>0</v>
      </c>
    </row>
    <row r="253" spans="1:18" x14ac:dyDescent="0.55000000000000004">
      <c r="A253" s="18" t="s">
        <v>1095</v>
      </c>
      <c r="B253" s="19" t="str">
        <f>VLOOKUP($A253,'MG Universe'!$A$2:$R$9994,2)</f>
        <v>Joy Global Inc.</v>
      </c>
      <c r="C253" s="19" t="str">
        <f>VLOOKUP($A253,'MG Universe'!$A$2:$R$9994,3)</f>
        <v>F</v>
      </c>
      <c r="D253" s="19" t="str">
        <f>VLOOKUP($A253,'MG Universe'!$A$2:$R$9994,4)</f>
        <v>S</v>
      </c>
      <c r="E253" s="19" t="str">
        <f>VLOOKUP($A253,'MG Universe'!$A$2:$R$9994,5)</f>
        <v>O</v>
      </c>
      <c r="F253" s="20" t="str">
        <f>VLOOKUP($A253,'MG Universe'!$A$2:$R$9994,6)</f>
        <v>SO</v>
      </c>
      <c r="G253" s="103">
        <f>VLOOKUP($A253,'MG Universe'!$A$2:$R$9994,7)</f>
        <v>42405</v>
      </c>
      <c r="H253" s="22">
        <f>VLOOKUP($A253,'MG Universe'!$A$2:$R$9994,8)</f>
        <v>0</v>
      </c>
      <c r="I253" s="22">
        <f>VLOOKUP($A253,'MG Universe'!$A$2:$R$9994,9)</f>
        <v>13.33</v>
      </c>
      <c r="J253" s="23" t="str">
        <f>VLOOKUP($A253,'MG Universe'!$A$2:$R$9994,10)</f>
        <v>N/A</v>
      </c>
      <c r="K253" s="105" t="str">
        <f>VLOOKUP($A253,'MG Universe'!$A$2:$R$9994,11)</f>
        <v>N/A</v>
      </c>
      <c r="L253" s="23">
        <f>VLOOKUP($A253,'MG Universe'!$A$2:$R$9994,12)</f>
        <v>3.0000000000000001E-3</v>
      </c>
      <c r="M253" s="106">
        <f>VLOOKUP($A253,'MG Universe'!$A$2:$R$9994,13)</f>
        <v>2.2000000000000002</v>
      </c>
      <c r="N253" s="107">
        <f>VLOOKUP($A253,'MG Universe'!$A$2:$R$9994,14)</f>
        <v>2.27</v>
      </c>
      <c r="O253" s="22">
        <f>VLOOKUP($A253,'MG Universe'!$A$2:$R$9994,15)</f>
        <v>-2.29</v>
      </c>
      <c r="P253" s="23">
        <f>VLOOKUP($A253,'MG Universe'!$A$2:$R$9994,16)</f>
        <v>-9.2999999999999999E-2</v>
      </c>
      <c r="Q253" s="109">
        <f>VLOOKUP($A253,'MG Universe'!$A$2:$R$9994,17)</f>
        <v>3</v>
      </c>
      <c r="R253" s="22">
        <f>VLOOKUP($A253,'MG Universe'!$A$2:$R$9994,18)</f>
        <v>9.23</v>
      </c>
    </row>
    <row r="254" spans="1:18" x14ac:dyDescent="0.55000000000000004">
      <c r="A254" s="18" t="s">
        <v>55</v>
      </c>
      <c r="B254" s="19" t="str">
        <f>VLOOKUP($A254,'MG Universe'!$A$2:$R$9994,2)</f>
        <v>JPMorgan Chase &amp; Co.</v>
      </c>
      <c r="C254" s="19" t="str">
        <f>VLOOKUP($A254,'MG Universe'!$A$2:$R$9994,3)</f>
        <v>A</v>
      </c>
      <c r="D254" s="19" t="str">
        <f>VLOOKUP($A254,'MG Universe'!$A$2:$R$9994,4)</f>
        <v>D</v>
      </c>
      <c r="E254" s="19" t="str">
        <f>VLOOKUP($A254,'MG Universe'!$A$2:$R$9994,5)</f>
        <v>U</v>
      </c>
      <c r="F254" s="20" t="str">
        <f>VLOOKUP($A254,'MG Universe'!$A$2:$R$9994,6)</f>
        <v>DU</v>
      </c>
      <c r="G254" s="103">
        <f>VLOOKUP($A254,'MG Universe'!$A$2:$R$9994,7)</f>
        <v>42394</v>
      </c>
      <c r="H254" s="22">
        <f>VLOOKUP($A254,'MG Universe'!$A$2:$R$9994,8)</f>
        <v>101.46</v>
      </c>
      <c r="I254" s="22">
        <f>VLOOKUP($A254,'MG Universe'!$A$2:$R$9994,9)</f>
        <v>59.74</v>
      </c>
      <c r="J254" s="23">
        <f>VLOOKUP($A254,'MG Universe'!$A$2:$R$9994,10)</f>
        <v>0.58879999999999999</v>
      </c>
      <c r="K254" s="105">
        <f>VLOOKUP($A254,'MG Universe'!$A$2:$R$9994,11)</f>
        <v>10.9</v>
      </c>
      <c r="L254" s="23">
        <f>VLOOKUP($A254,'MG Universe'!$A$2:$R$9994,12)</f>
        <v>2.9499999999999998E-2</v>
      </c>
      <c r="M254" s="106">
        <f>VLOOKUP($A254,'MG Universe'!$A$2:$R$9994,13)</f>
        <v>1.7</v>
      </c>
      <c r="N254" s="107" t="str">
        <f>VLOOKUP($A254,'MG Universe'!$A$2:$R$9994,14)</f>
        <v>N/A</v>
      </c>
      <c r="O254" s="22" t="str">
        <f>VLOOKUP($A254,'MG Universe'!$A$2:$R$9994,15)</f>
        <v>N/A</v>
      </c>
      <c r="P254" s="23">
        <f>VLOOKUP($A254,'MG Universe'!$A$2:$R$9994,16)</f>
        <v>1.2E-2</v>
      </c>
      <c r="Q254" s="109">
        <f>VLOOKUP($A254,'MG Universe'!$A$2:$R$9994,17)</f>
        <v>6</v>
      </c>
      <c r="R254" s="22">
        <f>VLOOKUP($A254,'MG Universe'!$A$2:$R$9994,18)</f>
        <v>88.61</v>
      </c>
    </row>
    <row r="255" spans="1:18" x14ac:dyDescent="0.55000000000000004">
      <c r="A255" s="18" t="s">
        <v>175</v>
      </c>
      <c r="B255" s="19" t="str">
        <f>VLOOKUP($A255,'MG Universe'!$A$2:$R$9994,2)</f>
        <v>Nordstrom, Inc.</v>
      </c>
      <c r="C255" s="19" t="str">
        <f>VLOOKUP($A255,'MG Universe'!$A$2:$R$9994,3)</f>
        <v>B</v>
      </c>
      <c r="D255" s="19" t="str">
        <f>VLOOKUP($A255,'MG Universe'!$A$2:$R$9994,4)</f>
        <v>E</v>
      </c>
      <c r="E255" s="19" t="str">
        <f>VLOOKUP($A255,'MG Universe'!$A$2:$R$9994,5)</f>
        <v>U</v>
      </c>
      <c r="F255" s="20" t="str">
        <f>VLOOKUP($A255,'MG Universe'!$A$2:$R$9994,6)</f>
        <v>EU</v>
      </c>
      <c r="G255" s="103">
        <f>VLOOKUP($A255,'MG Universe'!$A$2:$R$9994,7)</f>
        <v>42305</v>
      </c>
      <c r="H255" s="22">
        <f>VLOOKUP($A255,'MG Universe'!$A$2:$R$9994,8)</f>
        <v>76.78</v>
      </c>
      <c r="I255" s="22">
        <f>VLOOKUP($A255,'MG Universe'!$A$2:$R$9994,9)</f>
        <v>52.75</v>
      </c>
      <c r="J255" s="23">
        <f>VLOOKUP($A255,'MG Universe'!$A$2:$R$9994,10)</f>
        <v>0.68700000000000006</v>
      </c>
      <c r="K255" s="105">
        <f>VLOOKUP($A255,'MG Universe'!$A$2:$R$9994,11)</f>
        <v>14.3</v>
      </c>
      <c r="L255" s="23">
        <f>VLOOKUP($A255,'MG Universe'!$A$2:$R$9994,12)</f>
        <v>2.81E-2</v>
      </c>
      <c r="M255" s="106">
        <f>VLOOKUP($A255,'MG Universe'!$A$2:$R$9994,13)</f>
        <v>0.9</v>
      </c>
      <c r="N255" s="107">
        <f>VLOOKUP($A255,'MG Universe'!$A$2:$R$9994,14)</f>
        <v>1.57</v>
      </c>
      <c r="O255" s="22">
        <f>VLOOKUP($A255,'MG Universe'!$A$2:$R$9994,15)</f>
        <v>-9.18</v>
      </c>
      <c r="P255" s="23">
        <f>VLOOKUP($A255,'MG Universe'!$A$2:$R$9994,16)</f>
        <v>2.9000000000000001E-2</v>
      </c>
      <c r="Q255" s="109">
        <f>VLOOKUP($A255,'MG Universe'!$A$2:$R$9994,17)</f>
        <v>6</v>
      </c>
      <c r="R255" s="22">
        <f>VLOOKUP($A255,'MG Universe'!$A$2:$R$9994,18)</f>
        <v>33.729999999999997</v>
      </c>
    </row>
    <row r="256" spans="1:18" x14ac:dyDescent="0.55000000000000004">
      <c r="A256" s="18" t="s">
        <v>908</v>
      </c>
      <c r="B256" s="19" t="str">
        <f>VLOOKUP($A256,'MG Universe'!$A$2:$R$9994,2)</f>
        <v>Kellogg Company</v>
      </c>
      <c r="C256" s="19" t="str">
        <f>VLOOKUP($A256,'MG Universe'!$A$2:$R$9994,3)</f>
        <v>D+</v>
      </c>
      <c r="D256" s="19" t="str">
        <f>VLOOKUP($A256,'MG Universe'!$A$2:$R$9994,4)</f>
        <v>S</v>
      </c>
      <c r="E256" s="19" t="str">
        <f>VLOOKUP($A256,'MG Universe'!$A$2:$R$9994,5)</f>
        <v>O</v>
      </c>
      <c r="F256" s="20" t="str">
        <f>VLOOKUP($A256,'MG Universe'!$A$2:$R$9994,6)</f>
        <v>SO</v>
      </c>
      <c r="G256" s="103">
        <f>VLOOKUP($A256,'MG Universe'!$A$2:$R$9994,7)</f>
        <v>42049</v>
      </c>
      <c r="H256" s="22">
        <f>VLOOKUP($A256,'MG Universe'!$A$2:$R$9994,8)</f>
        <v>21.56</v>
      </c>
      <c r="I256" s="22">
        <f>VLOOKUP($A256,'MG Universe'!$A$2:$R$9994,9)</f>
        <v>75.09</v>
      </c>
      <c r="J256" s="23">
        <f>VLOOKUP($A256,'MG Universe'!$A$2:$R$9994,10)</f>
        <v>3.4828000000000001</v>
      </c>
      <c r="K256" s="105">
        <f>VLOOKUP($A256,'MG Universe'!$A$2:$R$9994,11)</f>
        <v>25.2</v>
      </c>
      <c r="L256" s="23">
        <f>VLOOKUP($A256,'MG Universe'!$A$2:$R$9994,12)</f>
        <v>2.6599999999999999E-2</v>
      </c>
      <c r="M256" s="106">
        <f>VLOOKUP($A256,'MG Universe'!$A$2:$R$9994,13)</f>
        <v>0.5</v>
      </c>
      <c r="N256" s="107">
        <f>VLOOKUP($A256,'MG Universe'!$A$2:$R$9994,14)</f>
        <v>0.77</v>
      </c>
      <c r="O256" s="22">
        <f>VLOOKUP($A256,'MG Universe'!$A$2:$R$9994,15)</f>
        <v>-25.36</v>
      </c>
      <c r="P256" s="23">
        <f>VLOOKUP($A256,'MG Universe'!$A$2:$R$9994,16)</f>
        <v>8.3500000000000005E-2</v>
      </c>
      <c r="Q256" s="109">
        <f>VLOOKUP($A256,'MG Universe'!$A$2:$R$9994,17)</f>
        <v>0</v>
      </c>
      <c r="R256" s="22">
        <f>VLOOKUP($A256,'MG Universe'!$A$2:$R$9994,18)</f>
        <v>0</v>
      </c>
    </row>
    <row r="257" spans="1:18" x14ac:dyDescent="0.55000000000000004">
      <c r="A257" s="18" t="s">
        <v>108</v>
      </c>
      <c r="B257" s="19" t="str">
        <f>VLOOKUP($A257,'MG Universe'!$A$2:$R$9994,2)</f>
        <v>KeyCorp</v>
      </c>
      <c r="C257" s="19" t="str">
        <f>VLOOKUP($A257,'MG Universe'!$A$2:$R$9994,3)</f>
        <v>A-</v>
      </c>
      <c r="D257" s="19" t="str">
        <f>VLOOKUP($A257,'MG Universe'!$A$2:$R$9994,4)</f>
        <v>E</v>
      </c>
      <c r="E257" s="19" t="str">
        <f>VLOOKUP($A257,'MG Universe'!$A$2:$R$9994,5)</f>
        <v>U</v>
      </c>
      <c r="F257" s="20" t="str">
        <f>VLOOKUP($A257,'MG Universe'!$A$2:$R$9994,6)</f>
        <v>EU</v>
      </c>
      <c r="G257" s="103">
        <f>VLOOKUP($A257,'MG Universe'!$A$2:$R$9994,7)</f>
        <v>42335</v>
      </c>
      <c r="H257" s="22">
        <f>VLOOKUP($A257,'MG Universe'!$A$2:$R$9994,8)</f>
        <v>37.78</v>
      </c>
      <c r="I257" s="22">
        <f>VLOOKUP($A257,'MG Universe'!$A$2:$R$9994,9)</f>
        <v>11.31</v>
      </c>
      <c r="J257" s="23">
        <f>VLOOKUP($A257,'MG Universe'!$A$2:$R$9994,10)</f>
        <v>0.2994</v>
      </c>
      <c r="K257" s="105">
        <f>VLOOKUP($A257,'MG Universe'!$A$2:$R$9994,11)</f>
        <v>11.54</v>
      </c>
      <c r="L257" s="23">
        <f>VLOOKUP($A257,'MG Universe'!$A$2:$R$9994,12)</f>
        <v>2.6499999999999999E-2</v>
      </c>
      <c r="M257" s="106">
        <f>VLOOKUP($A257,'MG Universe'!$A$2:$R$9994,13)</f>
        <v>1.3</v>
      </c>
      <c r="N257" s="107" t="str">
        <f>VLOOKUP($A257,'MG Universe'!$A$2:$R$9994,14)</f>
        <v>N/A</v>
      </c>
      <c r="O257" s="22" t="str">
        <f>VLOOKUP($A257,'MG Universe'!$A$2:$R$9994,15)</f>
        <v>N/A</v>
      </c>
      <c r="P257" s="23">
        <f>VLOOKUP($A257,'MG Universe'!$A$2:$R$9994,16)</f>
        <v>1.52E-2</v>
      </c>
      <c r="Q257" s="109">
        <f>VLOOKUP($A257,'MG Universe'!$A$2:$R$9994,17)</f>
        <v>5</v>
      </c>
      <c r="R257" s="22">
        <f>VLOOKUP($A257,'MG Universe'!$A$2:$R$9994,18)</f>
        <v>17.03</v>
      </c>
    </row>
    <row r="258" spans="1:18" x14ac:dyDescent="0.55000000000000004">
      <c r="A258" s="18" t="s">
        <v>177</v>
      </c>
      <c r="B258" s="19" t="str">
        <f>VLOOKUP($A258,'MG Universe'!$A$2:$R$9994,2)</f>
        <v>Kimco Realty Corp</v>
      </c>
      <c r="C258" s="19" t="str">
        <f>VLOOKUP($A258,'MG Universe'!$A$2:$R$9994,3)</f>
        <v>B</v>
      </c>
      <c r="D258" s="19" t="str">
        <f>VLOOKUP($A258,'MG Universe'!$A$2:$R$9994,4)</f>
        <v>E</v>
      </c>
      <c r="E258" s="19" t="str">
        <f>VLOOKUP($A258,'MG Universe'!$A$2:$R$9994,5)</f>
        <v>U</v>
      </c>
      <c r="F258" s="20" t="str">
        <f>VLOOKUP($A258,'MG Universe'!$A$2:$R$9994,6)</f>
        <v>EU</v>
      </c>
      <c r="G258" s="103">
        <f>VLOOKUP($A258,'MG Universe'!$A$2:$R$9994,7)</f>
        <v>42416</v>
      </c>
      <c r="H258" s="22">
        <f>VLOOKUP($A258,'MG Universe'!$A$2:$R$9994,8)</f>
        <v>49.92</v>
      </c>
      <c r="I258" s="22">
        <f>VLOOKUP($A258,'MG Universe'!$A$2:$R$9994,9)</f>
        <v>27.5</v>
      </c>
      <c r="J258" s="23">
        <f>VLOOKUP($A258,'MG Universe'!$A$2:$R$9994,10)</f>
        <v>0.55089999999999995</v>
      </c>
      <c r="K258" s="105">
        <f>VLOOKUP($A258,'MG Universe'!$A$2:$R$9994,11)</f>
        <v>21.15</v>
      </c>
      <c r="L258" s="23">
        <f>VLOOKUP($A258,'MG Universe'!$A$2:$R$9994,12)</f>
        <v>3.7100000000000001E-2</v>
      </c>
      <c r="M258" s="106">
        <f>VLOOKUP($A258,'MG Universe'!$A$2:$R$9994,13)</f>
        <v>1.1000000000000001</v>
      </c>
      <c r="N258" s="107">
        <f>VLOOKUP($A258,'MG Universe'!$A$2:$R$9994,14)</f>
        <v>3.44</v>
      </c>
      <c r="O258" s="22">
        <f>VLOOKUP($A258,'MG Universe'!$A$2:$R$9994,15)</f>
        <v>-14.29</v>
      </c>
      <c r="P258" s="23">
        <f>VLOOKUP($A258,'MG Universe'!$A$2:$R$9994,16)</f>
        <v>6.3299999999999995E-2</v>
      </c>
      <c r="Q258" s="109">
        <f>VLOOKUP($A258,'MG Universe'!$A$2:$R$9994,17)</f>
        <v>6</v>
      </c>
      <c r="R258" s="22">
        <f>VLOOKUP($A258,'MG Universe'!$A$2:$R$9994,18)</f>
        <v>20.3</v>
      </c>
    </row>
    <row r="259" spans="1:18" x14ac:dyDescent="0.55000000000000004">
      <c r="A259" s="18" t="s">
        <v>674</v>
      </c>
      <c r="B259" s="19" t="str">
        <f>VLOOKUP($A259,'MG Universe'!$A$2:$R$9994,2)</f>
        <v>KLA-Tencor Corp</v>
      </c>
      <c r="C259" s="19" t="str">
        <f>VLOOKUP($A259,'MG Universe'!$A$2:$R$9994,3)</f>
        <v>C+</v>
      </c>
      <c r="D259" s="19" t="str">
        <f>VLOOKUP($A259,'MG Universe'!$A$2:$R$9994,4)</f>
        <v>E</v>
      </c>
      <c r="E259" s="19" t="str">
        <f>VLOOKUP($A259,'MG Universe'!$A$2:$R$9994,5)</f>
        <v>O</v>
      </c>
      <c r="F259" s="20" t="str">
        <f>VLOOKUP($A259,'MG Universe'!$A$2:$R$9994,6)</f>
        <v>EO</v>
      </c>
      <c r="G259" s="103">
        <f>VLOOKUP($A259,'MG Universe'!$A$2:$R$9994,7)</f>
        <v>42375</v>
      </c>
      <c r="H259" s="22">
        <f>VLOOKUP($A259,'MG Universe'!$A$2:$R$9994,8)</f>
        <v>38.6</v>
      </c>
      <c r="I259" s="22">
        <f>VLOOKUP($A259,'MG Universe'!$A$2:$R$9994,9)</f>
        <v>68.42</v>
      </c>
      <c r="J259" s="23">
        <f>VLOOKUP($A259,'MG Universe'!$A$2:$R$9994,10)</f>
        <v>1.7725</v>
      </c>
      <c r="K259" s="105">
        <f>VLOOKUP($A259,'MG Universe'!$A$2:$R$9994,11)</f>
        <v>22.36</v>
      </c>
      <c r="L259" s="23">
        <f>VLOOKUP($A259,'MG Universe'!$A$2:$R$9994,12)</f>
        <v>3.04E-2</v>
      </c>
      <c r="M259" s="106">
        <f>VLOOKUP($A259,'MG Universe'!$A$2:$R$9994,13)</f>
        <v>1.5</v>
      </c>
      <c r="N259" s="107">
        <f>VLOOKUP($A259,'MG Universe'!$A$2:$R$9994,14)</f>
        <v>4.0199999999999996</v>
      </c>
      <c r="O259" s="22">
        <f>VLOOKUP($A259,'MG Universe'!$A$2:$R$9994,15)</f>
        <v>-3.81</v>
      </c>
      <c r="P259" s="23">
        <f>VLOOKUP($A259,'MG Universe'!$A$2:$R$9994,16)</f>
        <v>6.93E-2</v>
      </c>
      <c r="Q259" s="109">
        <f>VLOOKUP($A259,'MG Universe'!$A$2:$R$9994,17)</f>
        <v>6</v>
      </c>
      <c r="R259" s="22">
        <f>VLOOKUP($A259,'MG Universe'!$A$2:$R$9994,18)</f>
        <v>11.54</v>
      </c>
    </row>
    <row r="260" spans="1:18" x14ac:dyDescent="0.55000000000000004">
      <c r="A260" s="18" t="s">
        <v>776</v>
      </c>
      <c r="B260" s="19" t="str">
        <f>VLOOKUP($A260,'MG Universe'!$A$2:$R$9994,2)</f>
        <v>Kimberly Clark Corp</v>
      </c>
      <c r="C260" s="19" t="str">
        <f>VLOOKUP($A260,'MG Universe'!$A$2:$R$9994,3)</f>
        <v>D</v>
      </c>
      <c r="D260" s="19" t="str">
        <f>VLOOKUP($A260,'MG Universe'!$A$2:$R$9994,4)</f>
        <v>S</v>
      </c>
      <c r="E260" s="19" t="str">
        <f>VLOOKUP($A260,'MG Universe'!$A$2:$R$9994,5)</f>
        <v>O</v>
      </c>
      <c r="F260" s="20" t="str">
        <f>VLOOKUP($A260,'MG Universe'!$A$2:$R$9994,6)</f>
        <v>SO</v>
      </c>
      <c r="G260" s="103">
        <f>VLOOKUP($A260,'MG Universe'!$A$2:$R$9994,7)</f>
        <v>42041</v>
      </c>
      <c r="H260" s="22">
        <f>VLOOKUP($A260,'MG Universe'!$A$2:$R$9994,8)</f>
        <v>47.33</v>
      </c>
      <c r="I260" s="22">
        <f>VLOOKUP($A260,'MG Universe'!$A$2:$R$9994,9)</f>
        <v>131.57</v>
      </c>
      <c r="J260" s="23">
        <f>VLOOKUP($A260,'MG Universe'!$A$2:$R$9994,10)</f>
        <v>2.7797999999999998</v>
      </c>
      <c r="K260" s="105">
        <f>VLOOKUP($A260,'MG Universe'!$A$2:$R$9994,11)</f>
        <v>29.04</v>
      </c>
      <c r="L260" s="23">
        <f>VLOOKUP($A260,'MG Universe'!$A$2:$R$9994,12)</f>
        <v>2.8000000000000001E-2</v>
      </c>
      <c r="M260" s="106">
        <f>VLOOKUP($A260,'MG Universe'!$A$2:$R$9994,13)</f>
        <v>0.3</v>
      </c>
      <c r="N260" s="107">
        <f>VLOOKUP($A260,'MG Universe'!$A$2:$R$9994,14)</f>
        <v>0.89</v>
      </c>
      <c r="O260" s="22">
        <f>VLOOKUP($A260,'MG Universe'!$A$2:$R$9994,15)</f>
        <v>-24.77</v>
      </c>
      <c r="P260" s="23">
        <f>VLOOKUP($A260,'MG Universe'!$A$2:$R$9994,16)</f>
        <v>0.1027</v>
      </c>
      <c r="Q260" s="109">
        <f>VLOOKUP($A260,'MG Universe'!$A$2:$R$9994,17)</f>
        <v>0</v>
      </c>
      <c r="R260" s="22">
        <f>VLOOKUP($A260,'MG Universe'!$A$2:$R$9994,18)</f>
        <v>0</v>
      </c>
    </row>
    <row r="261" spans="1:18" x14ac:dyDescent="0.55000000000000004">
      <c r="A261" s="18" t="s">
        <v>566</v>
      </c>
      <c r="B261" s="19" t="str">
        <f>VLOOKUP($A261,'MG Universe'!$A$2:$R$9994,2)</f>
        <v>Kinder Morgan Inc</v>
      </c>
      <c r="C261" s="19" t="str">
        <f>VLOOKUP($A261,'MG Universe'!$A$2:$R$9994,3)</f>
        <v>C-</v>
      </c>
      <c r="D261" s="19" t="str">
        <f>VLOOKUP($A261,'MG Universe'!$A$2:$R$9994,4)</f>
        <v>S</v>
      </c>
      <c r="E261" s="19" t="str">
        <f>VLOOKUP($A261,'MG Universe'!$A$2:$R$9994,5)</f>
        <v>U</v>
      </c>
      <c r="F261" s="20" t="str">
        <f>VLOOKUP($A261,'MG Universe'!$A$2:$R$9994,6)</f>
        <v>SU</v>
      </c>
      <c r="G261" s="103">
        <f>VLOOKUP($A261,'MG Universe'!$A$2:$R$9994,7)</f>
        <v>42250</v>
      </c>
      <c r="H261" s="22">
        <f>VLOOKUP($A261,'MG Universe'!$A$2:$R$9994,8)</f>
        <v>30</v>
      </c>
      <c r="I261" s="22">
        <f>VLOOKUP($A261,'MG Universe'!$A$2:$R$9994,9)</f>
        <v>18.63</v>
      </c>
      <c r="J261" s="23">
        <f>VLOOKUP($A261,'MG Universe'!$A$2:$R$9994,10)</f>
        <v>0.621</v>
      </c>
      <c r="K261" s="105">
        <f>VLOOKUP($A261,'MG Universe'!$A$2:$R$9994,11)</f>
        <v>23.88</v>
      </c>
      <c r="L261" s="23">
        <f>VLOOKUP($A261,'MG Universe'!$A$2:$R$9994,12)</f>
        <v>2.6800000000000001E-2</v>
      </c>
      <c r="M261" s="106">
        <f>VLOOKUP($A261,'MG Universe'!$A$2:$R$9994,13)</f>
        <v>0.7</v>
      </c>
      <c r="N261" s="107">
        <f>VLOOKUP($A261,'MG Universe'!$A$2:$R$9994,14)</f>
        <v>0.45</v>
      </c>
      <c r="O261" s="22">
        <f>VLOOKUP($A261,'MG Universe'!$A$2:$R$9994,15)</f>
        <v>-21.72</v>
      </c>
      <c r="P261" s="23">
        <f>VLOOKUP($A261,'MG Universe'!$A$2:$R$9994,16)</f>
        <v>7.6899999999999996E-2</v>
      </c>
      <c r="Q261" s="109">
        <f>VLOOKUP($A261,'MG Universe'!$A$2:$R$9994,17)</f>
        <v>5</v>
      </c>
      <c r="R261" s="22">
        <f>VLOOKUP($A261,'MG Universe'!$A$2:$R$9994,18)</f>
        <v>15.45</v>
      </c>
    </row>
    <row r="262" spans="1:18" x14ac:dyDescent="0.55000000000000004">
      <c r="A262" s="18" t="s">
        <v>910</v>
      </c>
      <c r="B262" s="19" t="str">
        <f>VLOOKUP($A262,'MG Universe'!$A$2:$R$9994,2)</f>
        <v>CarMax, Inc</v>
      </c>
      <c r="C262" s="19" t="str">
        <f>VLOOKUP($A262,'MG Universe'!$A$2:$R$9994,3)</f>
        <v>D+</v>
      </c>
      <c r="D262" s="19" t="str">
        <f>VLOOKUP($A262,'MG Universe'!$A$2:$R$9994,4)</f>
        <v>S</v>
      </c>
      <c r="E262" s="19" t="str">
        <f>VLOOKUP($A262,'MG Universe'!$A$2:$R$9994,5)</f>
        <v>U</v>
      </c>
      <c r="F262" s="20" t="str">
        <f>VLOOKUP($A262,'MG Universe'!$A$2:$R$9994,6)</f>
        <v>SU</v>
      </c>
      <c r="G262" s="103">
        <f>VLOOKUP($A262,'MG Universe'!$A$2:$R$9994,7)</f>
        <v>42103</v>
      </c>
      <c r="H262" s="22">
        <f>VLOOKUP($A262,'MG Universe'!$A$2:$R$9994,8)</f>
        <v>84.12</v>
      </c>
      <c r="I262" s="22">
        <f>VLOOKUP($A262,'MG Universe'!$A$2:$R$9994,9)</f>
        <v>47.72</v>
      </c>
      <c r="J262" s="23">
        <f>VLOOKUP($A262,'MG Universe'!$A$2:$R$9994,10)</f>
        <v>0.56730000000000003</v>
      </c>
      <c r="K262" s="105">
        <f>VLOOKUP($A262,'MG Universe'!$A$2:$R$9994,11)</f>
        <v>21.59</v>
      </c>
      <c r="L262" s="23" t="str">
        <f>VLOOKUP($A262,'MG Universe'!$A$2:$R$9994,12)</f>
        <v>N/A</v>
      </c>
      <c r="M262" s="106">
        <f>VLOOKUP($A262,'MG Universe'!$A$2:$R$9994,13)</f>
        <v>1.4</v>
      </c>
      <c r="N262" s="107">
        <f>VLOOKUP($A262,'MG Universe'!$A$2:$R$9994,14)</f>
        <v>2.61</v>
      </c>
      <c r="O262" s="22">
        <f>VLOOKUP($A262,'MG Universe'!$A$2:$R$9994,15)</f>
        <v>-34.96</v>
      </c>
      <c r="P262" s="23">
        <f>VLOOKUP($A262,'MG Universe'!$A$2:$R$9994,16)</f>
        <v>6.5500000000000003E-2</v>
      </c>
      <c r="Q262" s="109">
        <f>VLOOKUP($A262,'MG Universe'!$A$2:$R$9994,17)</f>
        <v>0</v>
      </c>
      <c r="R262" s="22">
        <f>VLOOKUP($A262,'MG Universe'!$A$2:$R$9994,18)</f>
        <v>0</v>
      </c>
    </row>
    <row r="263" spans="1:18" x14ac:dyDescent="0.55000000000000004">
      <c r="A263" s="18" t="s">
        <v>912</v>
      </c>
      <c r="B263" s="19" t="str">
        <f>VLOOKUP($A263,'MG Universe'!$A$2:$R$9994,2)</f>
        <v>The Coca-Cola Co</v>
      </c>
      <c r="C263" s="19" t="str">
        <f>VLOOKUP($A263,'MG Universe'!$A$2:$R$9994,3)</f>
        <v>D+</v>
      </c>
      <c r="D263" s="19" t="str">
        <f>VLOOKUP($A263,'MG Universe'!$A$2:$R$9994,4)</f>
        <v>S</v>
      </c>
      <c r="E263" s="19" t="str">
        <f>VLOOKUP($A263,'MG Universe'!$A$2:$R$9994,5)</f>
        <v>O</v>
      </c>
      <c r="F263" s="20" t="str">
        <f>VLOOKUP($A263,'MG Universe'!$A$2:$R$9994,6)</f>
        <v>SO</v>
      </c>
      <c r="G263" s="103">
        <f>VLOOKUP($A263,'MG Universe'!$A$2:$R$9994,7)</f>
        <v>42066</v>
      </c>
      <c r="H263" s="22">
        <f>VLOOKUP($A263,'MG Universe'!$A$2:$R$9994,8)</f>
        <v>19.68</v>
      </c>
      <c r="I263" s="22">
        <f>VLOOKUP($A263,'MG Universe'!$A$2:$R$9994,9)</f>
        <v>43.77</v>
      </c>
      <c r="J263" s="23">
        <f>VLOOKUP($A263,'MG Universe'!$A$2:$R$9994,10)</f>
        <v>2.2241</v>
      </c>
      <c r="K263" s="105">
        <f>VLOOKUP($A263,'MG Universe'!$A$2:$R$9994,11)</f>
        <v>23.66</v>
      </c>
      <c r="L263" s="23">
        <f>VLOOKUP($A263,'MG Universe'!$A$2:$R$9994,12)</f>
        <v>3.2000000000000001E-2</v>
      </c>
      <c r="M263" s="106">
        <f>VLOOKUP($A263,'MG Universe'!$A$2:$R$9994,13)</f>
        <v>0.5</v>
      </c>
      <c r="N263" s="107">
        <f>VLOOKUP($A263,'MG Universe'!$A$2:$R$9994,14)</f>
        <v>1.02</v>
      </c>
      <c r="O263" s="22">
        <f>VLOOKUP($A263,'MG Universe'!$A$2:$R$9994,15)</f>
        <v>0.14000000000000001</v>
      </c>
      <c r="P263" s="23">
        <f>VLOOKUP($A263,'MG Universe'!$A$2:$R$9994,16)</f>
        <v>7.5800000000000006E-2</v>
      </c>
      <c r="Q263" s="109">
        <f>VLOOKUP($A263,'MG Universe'!$A$2:$R$9994,17)</f>
        <v>0</v>
      </c>
      <c r="R263" s="22">
        <f>VLOOKUP($A263,'MG Universe'!$A$2:$R$9994,18)</f>
        <v>0</v>
      </c>
    </row>
    <row r="264" spans="1:18" x14ac:dyDescent="0.55000000000000004">
      <c r="A264" s="18" t="s">
        <v>255</v>
      </c>
      <c r="B264" s="19" t="str">
        <f>VLOOKUP($A264,'MG Universe'!$A$2:$R$9994,2)</f>
        <v>Michael Kors Holdings Ltd</v>
      </c>
      <c r="C264" s="19" t="str">
        <f>VLOOKUP($A264,'MG Universe'!$A$2:$R$9994,3)</f>
        <v>B-</v>
      </c>
      <c r="D264" s="19" t="str">
        <f>VLOOKUP($A264,'MG Universe'!$A$2:$R$9994,4)</f>
        <v>E</v>
      </c>
      <c r="E264" s="19" t="str">
        <f>VLOOKUP($A264,'MG Universe'!$A$2:$R$9994,5)</f>
        <v>U</v>
      </c>
      <c r="F264" s="20" t="str">
        <f>VLOOKUP($A264,'MG Universe'!$A$2:$R$9994,6)</f>
        <v>EU</v>
      </c>
      <c r="G264" s="103">
        <f>VLOOKUP($A264,'MG Universe'!$A$2:$R$9994,7)</f>
        <v>42374</v>
      </c>
      <c r="H264" s="22">
        <f>VLOOKUP($A264,'MG Universe'!$A$2:$R$9994,8)</f>
        <v>133.34</v>
      </c>
      <c r="I264" s="22">
        <f>VLOOKUP($A264,'MG Universe'!$A$2:$R$9994,9)</f>
        <v>57.84</v>
      </c>
      <c r="J264" s="23">
        <f>VLOOKUP($A264,'MG Universe'!$A$2:$R$9994,10)</f>
        <v>0.43380000000000002</v>
      </c>
      <c r="K264" s="105">
        <f>VLOOKUP($A264,'MG Universe'!$A$2:$R$9994,11)</f>
        <v>16.72</v>
      </c>
      <c r="L264" s="23" t="str">
        <f>VLOOKUP($A264,'MG Universe'!$A$2:$R$9994,12)</f>
        <v>N/A</v>
      </c>
      <c r="M264" s="106">
        <f>VLOOKUP($A264,'MG Universe'!$A$2:$R$9994,13)</f>
        <v>1</v>
      </c>
      <c r="N264" s="107">
        <f>VLOOKUP($A264,'MG Universe'!$A$2:$R$9994,14)</f>
        <v>4.2</v>
      </c>
      <c r="O264" s="22">
        <f>VLOOKUP($A264,'MG Universe'!$A$2:$R$9994,15)</f>
        <v>5.68</v>
      </c>
      <c r="P264" s="23">
        <f>VLOOKUP($A264,'MG Universe'!$A$2:$R$9994,16)</f>
        <v>4.1099999999999998E-2</v>
      </c>
      <c r="Q264" s="109">
        <f>VLOOKUP($A264,'MG Universe'!$A$2:$R$9994,17)</f>
        <v>0</v>
      </c>
      <c r="R264" s="22">
        <f>VLOOKUP($A264,'MG Universe'!$A$2:$R$9994,18)</f>
        <v>30.7</v>
      </c>
    </row>
    <row r="265" spans="1:18" x14ac:dyDescent="0.55000000000000004">
      <c r="A265" s="18" t="s">
        <v>914</v>
      </c>
      <c r="B265" s="19" t="str">
        <f>VLOOKUP($A265,'MG Universe'!$A$2:$R$9994,2)</f>
        <v>The Kroger Co</v>
      </c>
      <c r="C265" s="19" t="str">
        <f>VLOOKUP($A265,'MG Universe'!$A$2:$R$9994,3)</f>
        <v>D+</v>
      </c>
      <c r="D265" s="19" t="str">
        <f>VLOOKUP($A265,'MG Universe'!$A$2:$R$9994,4)</f>
        <v>S</v>
      </c>
      <c r="E265" s="19" t="str">
        <f>VLOOKUP($A265,'MG Universe'!$A$2:$R$9994,5)</f>
        <v>U</v>
      </c>
      <c r="F265" s="20" t="str">
        <f>VLOOKUP($A265,'MG Universe'!$A$2:$R$9994,6)</f>
        <v>SU</v>
      </c>
      <c r="G265" s="103">
        <f>VLOOKUP($A265,'MG Universe'!$A$2:$R$9994,7)</f>
        <v>42202</v>
      </c>
      <c r="H265" s="22">
        <f>VLOOKUP($A265,'MG Universe'!$A$2:$R$9994,8)</f>
        <v>61.91</v>
      </c>
      <c r="I265" s="22">
        <f>VLOOKUP($A265,'MG Universe'!$A$2:$R$9994,9)</f>
        <v>40.67</v>
      </c>
      <c r="J265" s="23">
        <f>VLOOKUP($A265,'MG Universe'!$A$2:$R$9994,10)</f>
        <v>0.65690000000000004</v>
      </c>
      <c r="K265" s="105">
        <f>VLOOKUP($A265,'MG Universe'!$A$2:$R$9994,11)</f>
        <v>25.26</v>
      </c>
      <c r="L265" s="23">
        <f>VLOOKUP($A265,'MG Universe'!$A$2:$R$9994,12)</f>
        <v>1.03E-2</v>
      </c>
      <c r="M265" s="106">
        <f>VLOOKUP($A265,'MG Universe'!$A$2:$R$9994,13)</f>
        <v>0.8</v>
      </c>
      <c r="N265" s="107">
        <f>VLOOKUP($A265,'MG Universe'!$A$2:$R$9994,14)</f>
        <v>0.76</v>
      </c>
      <c r="O265" s="22">
        <f>VLOOKUP($A265,'MG Universe'!$A$2:$R$9994,15)</f>
        <v>-16.59</v>
      </c>
      <c r="P265" s="23">
        <f>VLOOKUP($A265,'MG Universe'!$A$2:$R$9994,16)</f>
        <v>8.3799999999999999E-2</v>
      </c>
      <c r="Q265" s="109">
        <f>VLOOKUP($A265,'MG Universe'!$A$2:$R$9994,17)</f>
        <v>0</v>
      </c>
      <c r="R265" s="22">
        <f>VLOOKUP($A265,'MG Universe'!$A$2:$R$9994,18)</f>
        <v>0</v>
      </c>
    </row>
    <row r="266" spans="1:18" x14ac:dyDescent="0.55000000000000004">
      <c r="A266" s="18" t="s">
        <v>1160</v>
      </c>
      <c r="B266" s="19" t="str">
        <f>VLOOKUP($A266,'MG Universe'!$A$2:$R$9994,2)</f>
        <v>The Kroger Co</v>
      </c>
      <c r="C266" s="19" t="str">
        <f>VLOOKUP($A266,'MG Universe'!$A$2:$R$9994,3)</f>
        <v>D+</v>
      </c>
      <c r="D266" s="19" t="str">
        <f>VLOOKUP($A266,'MG Universe'!$A$2:$R$9994,4)</f>
        <v>S</v>
      </c>
      <c r="E266" s="19" t="str">
        <f>VLOOKUP($A266,'MG Universe'!$A$2:$R$9994,5)</f>
        <v>U</v>
      </c>
      <c r="F266" s="20" t="str">
        <f>VLOOKUP($A266,'MG Universe'!$A$2:$R$9994,6)</f>
        <v>SU</v>
      </c>
      <c r="G266" s="103">
        <f>VLOOKUP($A266,'MG Universe'!$A$2:$R$9994,7)</f>
        <v>42202</v>
      </c>
      <c r="H266" s="22">
        <f>VLOOKUP($A266,'MG Universe'!$A$2:$R$9994,8)</f>
        <v>61.91</v>
      </c>
      <c r="I266" s="22">
        <f>VLOOKUP($A266,'MG Universe'!$A$2:$R$9994,9)</f>
        <v>40.67</v>
      </c>
      <c r="J266" s="23">
        <f>VLOOKUP($A266,'MG Universe'!$A$2:$R$9994,10)</f>
        <v>0.65690000000000004</v>
      </c>
      <c r="K266" s="105">
        <f>VLOOKUP($A266,'MG Universe'!$A$2:$R$9994,11)</f>
        <v>25.26</v>
      </c>
      <c r="L266" s="23">
        <f>VLOOKUP($A266,'MG Universe'!$A$2:$R$9994,12)</f>
        <v>1.03E-2</v>
      </c>
      <c r="M266" s="106">
        <f>VLOOKUP($A266,'MG Universe'!$A$2:$R$9994,13)</f>
        <v>0.8</v>
      </c>
      <c r="N266" s="107">
        <f>VLOOKUP($A266,'MG Universe'!$A$2:$R$9994,14)</f>
        <v>0.76</v>
      </c>
      <c r="O266" s="22">
        <f>VLOOKUP($A266,'MG Universe'!$A$2:$R$9994,15)</f>
        <v>-16.59</v>
      </c>
      <c r="P266" s="23">
        <f>VLOOKUP($A266,'MG Universe'!$A$2:$R$9994,16)</f>
        <v>8.3799999999999999E-2</v>
      </c>
      <c r="Q266" s="109">
        <f>VLOOKUP($A266,'MG Universe'!$A$2:$R$9994,17)</f>
        <v>0</v>
      </c>
      <c r="R266" s="22">
        <f>VLOOKUP($A266,'MG Universe'!$A$2:$R$9994,18)</f>
        <v>0</v>
      </c>
    </row>
    <row r="267" spans="1:18" x14ac:dyDescent="0.55000000000000004">
      <c r="A267" s="18" t="s">
        <v>916</v>
      </c>
      <c r="B267" s="19" t="str">
        <f>VLOOKUP($A267,'MG Universe'!$A$2:$R$9994,2)</f>
        <v>Kohl's Corporation</v>
      </c>
      <c r="C267" s="19" t="str">
        <f>VLOOKUP($A267,'MG Universe'!$A$2:$R$9994,3)</f>
        <v>D+</v>
      </c>
      <c r="D267" s="19" t="str">
        <f>VLOOKUP($A267,'MG Universe'!$A$2:$R$9994,4)</f>
        <v>S</v>
      </c>
      <c r="E267" s="19" t="str">
        <f>VLOOKUP($A267,'MG Universe'!$A$2:$R$9994,5)</f>
        <v>O</v>
      </c>
      <c r="F267" s="20" t="str">
        <f>VLOOKUP($A267,'MG Universe'!$A$2:$R$9994,6)</f>
        <v>SO</v>
      </c>
      <c r="G267" s="103">
        <f>VLOOKUP($A267,'MG Universe'!$A$2:$R$9994,7)</f>
        <v>42326</v>
      </c>
      <c r="H267" s="22">
        <f>VLOOKUP($A267,'MG Universe'!$A$2:$R$9994,8)</f>
        <v>22.02</v>
      </c>
      <c r="I267" s="22">
        <f>VLOOKUP($A267,'MG Universe'!$A$2:$R$9994,9)</f>
        <v>46.64</v>
      </c>
      <c r="J267" s="23">
        <f>VLOOKUP($A267,'MG Universe'!$A$2:$R$9994,10)</f>
        <v>2.1181000000000001</v>
      </c>
      <c r="K267" s="105">
        <f>VLOOKUP($A267,'MG Universe'!$A$2:$R$9994,11)</f>
        <v>13.68</v>
      </c>
      <c r="L267" s="23">
        <f>VLOOKUP($A267,'MG Universe'!$A$2:$R$9994,12)</f>
        <v>4.2900000000000001E-2</v>
      </c>
      <c r="M267" s="106">
        <f>VLOOKUP($A267,'MG Universe'!$A$2:$R$9994,13)</f>
        <v>0.9</v>
      </c>
      <c r="N267" s="107">
        <f>VLOOKUP($A267,'MG Universe'!$A$2:$R$9994,14)</f>
        <v>1.57</v>
      </c>
      <c r="O267" s="22">
        <f>VLOOKUP($A267,'MG Universe'!$A$2:$R$9994,15)</f>
        <v>-16.43</v>
      </c>
      <c r="P267" s="23">
        <f>VLOOKUP($A267,'MG Universe'!$A$2:$R$9994,16)</f>
        <v>2.5899999999999999E-2</v>
      </c>
      <c r="Q267" s="109">
        <f>VLOOKUP($A267,'MG Universe'!$A$2:$R$9994,17)</f>
        <v>5</v>
      </c>
      <c r="R267" s="22">
        <f>VLOOKUP($A267,'MG Universe'!$A$2:$R$9994,18)</f>
        <v>34.28</v>
      </c>
    </row>
    <row r="268" spans="1:18" x14ac:dyDescent="0.55000000000000004">
      <c r="A268" s="18" t="s">
        <v>918</v>
      </c>
      <c r="B268" s="19" t="str">
        <f>VLOOKUP($A268,'MG Universe'!$A$2:$R$9994,2)</f>
        <v>Kansas City Southern</v>
      </c>
      <c r="C268" s="19" t="str">
        <f>VLOOKUP($A268,'MG Universe'!$A$2:$R$9994,3)</f>
        <v>D+</v>
      </c>
      <c r="D268" s="19" t="str">
        <f>VLOOKUP($A268,'MG Universe'!$A$2:$R$9994,4)</f>
        <v>S</v>
      </c>
      <c r="E268" s="19" t="str">
        <f>VLOOKUP($A268,'MG Universe'!$A$2:$R$9994,5)</f>
        <v>U</v>
      </c>
      <c r="F268" s="20" t="str">
        <f>VLOOKUP($A268,'MG Universe'!$A$2:$R$9994,6)</f>
        <v>SU</v>
      </c>
      <c r="G268" s="103">
        <f>VLOOKUP($A268,'MG Universe'!$A$2:$R$9994,7)</f>
        <v>42229</v>
      </c>
      <c r="H268" s="22">
        <f>VLOOKUP($A268,'MG Universe'!$A$2:$R$9994,8)</f>
        <v>149.88999999999999</v>
      </c>
      <c r="I268" s="22">
        <f>VLOOKUP($A268,'MG Universe'!$A$2:$R$9994,9)</f>
        <v>85.55</v>
      </c>
      <c r="J268" s="23">
        <f>VLOOKUP($A268,'MG Universe'!$A$2:$R$9994,10)</f>
        <v>0.57079999999999997</v>
      </c>
      <c r="K268" s="105">
        <f>VLOOKUP($A268,'MG Universe'!$A$2:$R$9994,11)</f>
        <v>21.99</v>
      </c>
      <c r="L268" s="23">
        <f>VLOOKUP($A268,'MG Universe'!$A$2:$R$9994,12)</f>
        <v>1.54E-2</v>
      </c>
      <c r="M268" s="106">
        <f>VLOOKUP($A268,'MG Universe'!$A$2:$R$9994,13)</f>
        <v>1.2</v>
      </c>
      <c r="N268" s="107">
        <f>VLOOKUP($A268,'MG Universe'!$A$2:$R$9994,14)</f>
        <v>0.75</v>
      </c>
      <c r="O268" s="22">
        <f>VLOOKUP($A268,'MG Universe'!$A$2:$R$9994,15)</f>
        <v>-32.94</v>
      </c>
      <c r="P268" s="23">
        <f>VLOOKUP($A268,'MG Universe'!$A$2:$R$9994,16)</f>
        <v>6.7500000000000004E-2</v>
      </c>
      <c r="Q268" s="109">
        <f>VLOOKUP($A268,'MG Universe'!$A$2:$R$9994,17)</f>
        <v>4</v>
      </c>
      <c r="R268" s="22">
        <f>VLOOKUP($A268,'MG Universe'!$A$2:$R$9994,18)</f>
        <v>0</v>
      </c>
    </row>
    <row r="269" spans="1:18" x14ac:dyDescent="0.55000000000000004">
      <c r="A269" s="18" t="s">
        <v>920</v>
      </c>
      <c r="B269" s="19" t="str">
        <f>VLOOKUP($A269,'MG Universe'!$A$2:$R$9994,2)</f>
        <v>Loews Corporation</v>
      </c>
      <c r="C269" s="19" t="str">
        <f>VLOOKUP($A269,'MG Universe'!$A$2:$R$9994,3)</f>
        <v>D+</v>
      </c>
      <c r="D269" s="19" t="str">
        <f>VLOOKUP($A269,'MG Universe'!$A$2:$R$9994,4)</f>
        <v>S</v>
      </c>
      <c r="E269" s="19" t="str">
        <f>VLOOKUP($A269,'MG Universe'!$A$2:$R$9994,5)</f>
        <v>O</v>
      </c>
      <c r="F269" s="20" t="str">
        <f>VLOOKUP($A269,'MG Universe'!$A$2:$R$9994,6)</f>
        <v>SO</v>
      </c>
      <c r="G269" s="103">
        <f>VLOOKUP($A269,'MG Universe'!$A$2:$R$9994,7)</f>
        <v>42312</v>
      </c>
      <c r="H269" s="22">
        <f>VLOOKUP($A269,'MG Universe'!$A$2:$R$9994,8)</f>
        <v>0</v>
      </c>
      <c r="I269" s="22">
        <f>VLOOKUP($A269,'MG Universe'!$A$2:$R$9994,9)</f>
        <v>37.380000000000003</v>
      </c>
      <c r="J269" s="23" t="str">
        <f>VLOOKUP($A269,'MG Universe'!$A$2:$R$9994,10)</f>
        <v>N/A</v>
      </c>
      <c r="K269" s="105">
        <f>VLOOKUP($A269,'MG Universe'!$A$2:$R$9994,11)</f>
        <v>20.88</v>
      </c>
      <c r="L269" s="23">
        <f>VLOOKUP($A269,'MG Universe'!$A$2:$R$9994,12)</f>
        <v>6.7000000000000002E-3</v>
      </c>
      <c r="M269" s="106">
        <f>VLOOKUP($A269,'MG Universe'!$A$2:$R$9994,13)</f>
        <v>0.9</v>
      </c>
      <c r="N269" s="107" t="str">
        <f>VLOOKUP($A269,'MG Universe'!$A$2:$R$9994,14)</f>
        <v>N/A</v>
      </c>
      <c r="O269" s="22" t="str">
        <f>VLOOKUP($A269,'MG Universe'!$A$2:$R$9994,15)</f>
        <v>N/A</v>
      </c>
      <c r="P269" s="23">
        <f>VLOOKUP($A269,'MG Universe'!$A$2:$R$9994,16)</f>
        <v>6.1899999999999997E-2</v>
      </c>
      <c r="Q269" s="109">
        <f>VLOOKUP($A269,'MG Universe'!$A$2:$R$9994,17)</f>
        <v>1</v>
      </c>
      <c r="R269" s="22">
        <f>VLOOKUP($A269,'MG Universe'!$A$2:$R$9994,18)</f>
        <v>49.88</v>
      </c>
    </row>
    <row r="270" spans="1:18" x14ac:dyDescent="0.55000000000000004">
      <c r="A270" s="18" t="s">
        <v>257</v>
      </c>
      <c r="B270" s="19" t="str">
        <f>VLOOKUP($A270,'MG Universe'!$A$2:$R$9994,2)</f>
        <v>L Brands Inc</v>
      </c>
      <c r="C270" s="19" t="str">
        <f>VLOOKUP($A270,'MG Universe'!$A$2:$R$9994,3)</f>
        <v>B-</v>
      </c>
      <c r="D270" s="19" t="str">
        <f>VLOOKUP($A270,'MG Universe'!$A$2:$R$9994,4)</f>
        <v>E</v>
      </c>
      <c r="E270" s="19" t="str">
        <f>VLOOKUP($A270,'MG Universe'!$A$2:$R$9994,5)</f>
        <v>F</v>
      </c>
      <c r="F270" s="20" t="str">
        <f>VLOOKUP($A270,'MG Universe'!$A$2:$R$9994,6)</f>
        <v>EF</v>
      </c>
      <c r="G270" s="103">
        <f>VLOOKUP($A270,'MG Universe'!$A$2:$R$9994,7)</f>
        <v>42376</v>
      </c>
      <c r="H270" s="22">
        <f>VLOOKUP($A270,'MG Universe'!$A$2:$R$9994,8)</f>
        <v>96.68</v>
      </c>
      <c r="I270" s="22">
        <f>VLOOKUP($A270,'MG Universe'!$A$2:$R$9994,9)</f>
        <v>87.17</v>
      </c>
      <c r="J270" s="23">
        <f>VLOOKUP($A270,'MG Universe'!$A$2:$R$9994,10)</f>
        <v>0.90159999999999996</v>
      </c>
      <c r="K270" s="105">
        <f>VLOOKUP($A270,'MG Universe'!$A$2:$R$9994,11)</f>
        <v>25.71</v>
      </c>
      <c r="L270" s="23">
        <f>VLOOKUP($A270,'MG Universe'!$A$2:$R$9994,12)</f>
        <v>2.75E-2</v>
      </c>
      <c r="M270" s="106">
        <f>VLOOKUP($A270,'MG Universe'!$A$2:$R$9994,13)</f>
        <v>0.9</v>
      </c>
      <c r="N270" s="107">
        <f>VLOOKUP($A270,'MG Universe'!$A$2:$R$9994,14)</f>
        <v>2.06</v>
      </c>
      <c r="O270" s="22">
        <f>VLOOKUP($A270,'MG Universe'!$A$2:$R$9994,15)</f>
        <v>-17.100000000000001</v>
      </c>
      <c r="P270" s="23">
        <f>VLOOKUP($A270,'MG Universe'!$A$2:$R$9994,16)</f>
        <v>8.6099999999999996E-2</v>
      </c>
      <c r="Q270" s="109">
        <f>VLOOKUP($A270,'MG Universe'!$A$2:$R$9994,17)</f>
        <v>5</v>
      </c>
      <c r="R270" s="22" t="str">
        <f>VLOOKUP($A270,'MG Universe'!$A$2:$R$9994,18)</f>
        <v>N/A</v>
      </c>
    </row>
    <row r="271" spans="1:18" x14ac:dyDescent="0.55000000000000004">
      <c r="A271" s="18" t="s">
        <v>181</v>
      </c>
      <c r="B271" s="19" t="str">
        <f>VLOOKUP($A271,'MG Universe'!$A$2:$R$9994,2)</f>
        <v>Leggett &amp; Platt, Inc.</v>
      </c>
      <c r="C271" s="19" t="str">
        <f>VLOOKUP($A271,'MG Universe'!$A$2:$R$9994,3)</f>
        <v>B</v>
      </c>
      <c r="D271" s="19" t="str">
        <f>VLOOKUP($A271,'MG Universe'!$A$2:$R$9994,4)</f>
        <v>E</v>
      </c>
      <c r="E271" s="19" t="str">
        <f>VLOOKUP($A271,'MG Universe'!$A$2:$R$9994,5)</f>
        <v>F</v>
      </c>
      <c r="F271" s="20" t="str">
        <f>VLOOKUP($A271,'MG Universe'!$A$2:$R$9994,6)</f>
        <v>EF</v>
      </c>
      <c r="G271" s="103">
        <f>VLOOKUP($A271,'MG Universe'!$A$2:$R$9994,7)</f>
        <v>42416</v>
      </c>
      <c r="H271" s="22">
        <f>VLOOKUP($A271,'MG Universe'!$A$2:$R$9994,8)</f>
        <v>44.19</v>
      </c>
      <c r="I271" s="22">
        <f>VLOOKUP($A271,'MG Universe'!$A$2:$R$9994,9)</f>
        <v>46.73</v>
      </c>
      <c r="J271" s="23">
        <f>VLOOKUP($A271,'MG Universe'!$A$2:$R$9994,10)</f>
        <v>1.0575000000000001</v>
      </c>
      <c r="K271" s="105">
        <f>VLOOKUP($A271,'MG Universe'!$A$2:$R$9994,11)</f>
        <v>25.4</v>
      </c>
      <c r="L271" s="23">
        <f>VLOOKUP($A271,'MG Universe'!$A$2:$R$9994,12)</f>
        <v>2.7400000000000001E-2</v>
      </c>
      <c r="M271" s="106">
        <f>VLOOKUP($A271,'MG Universe'!$A$2:$R$9994,13)</f>
        <v>1</v>
      </c>
      <c r="N271" s="107">
        <f>VLOOKUP($A271,'MG Universe'!$A$2:$R$9994,14)</f>
        <v>1.87</v>
      </c>
      <c r="O271" s="22">
        <f>VLOOKUP($A271,'MG Universe'!$A$2:$R$9994,15)</f>
        <v>-3.91</v>
      </c>
      <c r="P271" s="23">
        <f>VLOOKUP($A271,'MG Universe'!$A$2:$R$9994,16)</f>
        <v>8.4500000000000006E-2</v>
      </c>
      <c r="Q271" s="109">
        <f>VLOOKUP($A271,'MG Universe'!$A$2:$R$9994,17)</f>
        <v>20</v>
      </c>
      <c r="R271" s="22">
        <f>VLOOKUP($A271,'MG Universe'!$A$2:$R$9994,18)</f>
        <v>20.88</v>
      </c>
    </row>
    <row r="272" spans="1:18" x14ac:dyDescent="0.55000000000000004">
      <c r="A272" s="18" t="s">
        <v>324</v>
      </c>
      <c r="B272" s="19" t="str">
        <f>VLOOKUP($A272,'MG Universe'!$A$2:$R$9994,2)</f>
        <v>Lennar Corporation</v>
      </c>
      <c r="C272" s="19" t="str">
        <f>VLOOKUP($A272,'MG Universe'!$A$2:$R$9994,3)</f>
        <v>B+</v>
      </c>
      <c r="D272" s="19" t="str">
        <f>VLOOKUP($A272,'MG Universe'!$A$2:$R$9994,4)</f>
        <v>E</v>
      </c>
      <c r="E272" s="19" t="str">
        <f>VLOOKUP($A272,'MG Universe'!$A$2:$R$9994,5)</f>
        <v>U</v>
      </c>
      <c r="F272" s="20" t="str">
        <f>VLOOKUP($A272,'MG Universe'!$A$2:$R$9994,6)</f>
        <v>EU</v>
      </c>
      <c r="G272" s="103">
        <f>VLOOKUP($A272,'MG Universe'!$A$2:$R$9994,7)</f>
        <v>42320</v>
      </c>
      <c r="H272" s="22">
        <f>VLOOKUP($A272,'MG Universe'!$A$2:$R$9994,8)</f>
        <v>110.88</v>
      </c>
      <c r="I272" s="22">
        <f>VLOOKUP($A272,'MG Universe'!$A$2:$R$9994,9)</f>
        <v>44.77</v>
      </c>
      <c r="J272" s="23">
        <f>VLOOKUP($A272,'MG Universe'!$A$2:$R$9994,10)</f>
        <v>0.40379999999999999</v>
      </c>
      <c r="K272" s="105">
        <f>VLOOKUP($A272,'MG Universe'!$A$2:$R$9994,11)</f>
        <v>15.55</v>
      </c>
      <c r="L272" s="23">
        <f>VLOOKUP($A272,'MG Universe'!$A$2:$R$9994,12)</f>
        <v>3.5999999999999999E-3</v>
      </c>
      <c r="M272" s="106">
        <f>VLOOKUP($A272,'MG Universe'!$A$2:$R$9994,13)</f>
        <v>1.5</v>
      </c>
      <c r="N272" s="107">
        <f>VLOOKUP($A272,'MG Universe'!$A$2:$R$9994,14)</f>
        <v>4.9000000000000004</v>
      </c>
      <c r="O272" s="22">
        <f>VLOOKUP($A272,'MG Universe'!$A$2:$R$9994,15)</f>
        <v>6.4</v>
      </c>
      <c r="P272" s="23">
        <f>VLOOKUP($A272,'MG Universe'!$A$2:$R$9994,16)</f>
        <v>3.5200000000000002E-2</v>
      </c>
      <c r="Q272" s="109">
        <f>VLOOKUP($A272,'MG Universe'!$A$2:$R$9994,17)</f>
        <v>0</v>
      </c>
      <c r="R272" s="22">
        <f>VLOOKUP($A272,'MG Universe'!$A$2:$R$9994,18)</f>
        <v>47.07</v>
      </c>
    </row>
    <row r="273" spans="1:18" x14ac:dyDescent="0.55000000000000004">
      <c r="A273" s="18" t="s">
        <v>922</v>
      </c>
      <c r="B273" s="19" t="str">
        <f>VLOOKUP($A273,'MG Universe'!$A$2:$R$9994,2)</f>
        <v>Laboratory Corp. of America Holdings</v>
      </c>
      <c r="C273" s="19" t="str">
        <f>VLOOKUP($A273,'MG Universe'!$A$2:$R$9994,3)</f>
        <v>D+</v>
      </c>
      <c r="D273" s="19" t="str">
        <f>VLOOKUP($A273,'MG Universe'!$A$2:$R$9994,4)</f>
        <v>S</v>
      </c>
      <c r="E273" s="19" t="str">
        <f>VLOOKUP($A273,'MG Universe'!$A$2:$R$9994,5)</f>
        <v>F</v>
      </c>
      <c r="F273" s="20" t="str">
        <f>VLOOKUP($A273,'MG Universe'!$A$2:$R$9994,6)</f>
        <v>SF</v>
      </c>
      <c r="G273" s="103">
        <f>VLOOKUP($A273,'MG Universe'!$A$2:$R$9994,7)</f>
        <v>42137</v>
      </c>
      <c r="H273" s="22">
        <f>VLOOKUP($A273,'MG Universe'!$A$2:$R$9994,8)</f>
        <v>117.25</v>
      </c>
      <c r="I273" s="22">
        <f>VLOOKUP($A273,'MG Universe'!$A$2:$R$9994,9)</f>
        <v>109.87</v>
      </c>
      <c r="J273" s="23">
        <f>VLOOKUP($A273,'MG Universe'!$A$2:$R$9994,10)</f>
        <v>0.93710000000000004</v>
      </c>
      <c r="K273" s="105">
        <f>VLOOKUP($A273,'MG Universe'!$A$2:$R$9994,11)</f>
        <v>16.899999999999999</v>
      </c>
      <c r="L273" s="23" t="str">
        <f>VLOOKUP($A273,'MG Universe'!$A$2:$R$9994,12)</f>
        <v>N/A</v>
      </c>
      <c r="M273" s="106">
        <f>VLOOKUP($A273,'MG Universe'!$A$2:$R$9994,13)</f>
        <v>0.9</v>
      </c>
      <c r="N273" s="107">
        <f>VLOOKUP($A273,'MG Universe'!$A$2:$R$9994,14)</f>
        <v>1.65</v>
      </c>
      <c r="O273" s="22">
        <f>VLOOKUP($A273,'MG Universe'!$A$2:$R$9994,15)</f>
        <v>-77.87</v>
      </c>
      <c r="P273" s="23">
        <f>VLOOKUP($A273,'MG Universe'!$A$2:$R$9994,16)</f>
        <v>4.2000000000000003E-2</v>
      </c>
      <c r="Q273" s="109">
        <f>VLOOKUP($A273,'MG Universe'!$A$2:$R$9994,17)</f>
        <v>0</v>
      </c>
      <c r="R273" s="22">
        <f>VLOOKUP($A273,'MG Universe'!$A$2:$R$9994,18)</f>
        <v>0</v>
      </c>
    </row>
    <row r="274" spans="1:18" x14ac:dyDescent="0.55000000000000004">
      <c r="A274" s="18" t="s">
        <v>924</v>
      </c>
      <c r="B274" s="19" t="str">
        <f>VLOOKUP($A274,'MG Universe'!$A$2:$R$9994,2)</f>
        <v>L-3 Communications Holdings, Inc.</v>
      </c>
      <c r="C274" s="19" t="str">
        <f>VLOOKUP($A274,'MG Universe'!$A$2:$R$9994,3)</f>
        <v>D+</v>
      </c>
      <c r="D274" s="19" t="str">
        <f>VLOOKUP($A274,'MG Universe'!$A$2:$R$9994,4)</f>
        <v>S</v>
      </c>
      <c r="E274" s="19" t="str">
        <f>VLOOKUP($A274,'MG Universe'!$A$2:$R$9994,5)</f>
        <v>O</v>
      </c>
      <c r="F274" s="20" t="str">
        <f>VLOOKUP($A274,'MG Universe'!$A$2:$R$9994,6)</f>
        <v>SO</v>
      </c>
      <c r="G274" s="103">
        <f>VLOOKUP($A274,'MG Universe'!$A$2:$R$9994,7)</f>
        <v>42139</v>
      </c>
      <c r="H274" s="22">
        <f>VLOOKUP($A274,'MG Universe'!$A$2:$R$9994,8)</f>
        <v>53.36</v>
      </c>
      <c r="I274" s="22">
        <f>VLOOKUP($A274,'MG Universe'!$A$2:$R$9994,9)</f>
        <v>119.47</v>
      </c>
      <c r="J274" s="23">
        <f>VLOOKUP($A274,'MG Universe'!$A$2:$R$9994,10)</f>
        <v>2.2389000000000001</v>
      </c>
      <c r="K274" s="105">
        <f>VLOOKUP($A274,'MG Universe'!$A$2:$R$9994,11)</f>
        <v>15.5</v>
      </c>
      <c r="L274" s="23">
        <f>VLOOKUP($A274,'MG Universe'!$A$2:$R$9994,12)</f>
        <v>2.3400000000000001E-2</v>
      </c>
      <c r="M274" s="106">
        <f>VLOOKUP($A274,'MG Universe'!$A$2:$R$9994,13)</f>
        <v>1.1000000000000001</v>
      </c>
      <c r="N274" s="107">
        <f>VLOOKUP($A274,'MG Universe'!$A$2:$R$9994,14)</f>
        <v>1.87</v>
      </c>
      <c r="O274" s="22">
        <f>VLOOKUP($A274,'MG Universe'!$A$2:$R$9994,15)</f>
        <v>-45.85</v>
      </c>
      <c r="P274" s="23">
        <f>VLOOKUP($A274,'MG Universe'!$A$2:$R$9994,16)</f>
        <v>3.5000000000000003E-2</v>
      </c>
      <c r="Q274" s="109">
        <f>VLOOKUP($A274,'MG Universe'!$A$2:$R$9994,17)</f>
        <v>0</v>
      </c>
      <c r="R274" s="22">
        <f>VLOOKUP($A274,'MG Universe'!$A$2:$R$9994,18)</f>
        <v>0</v>
      </c>
    </row>
    <row r="275" spans="1:18" x14ac:dyDescent="0.55000000000000004">
      <c r="A275" s="18" t="s">
        <v>183</v>
      </c>
      <c r="B275" s="19" t="str">
        <f>VLOOKUP($A275,'MG Universe'!$A$2:$R$9994,2)</f>
        <v>Linear Technology Corporation</v>
      </c>
      <c r="C275" s="19" t="str">
        <f>VLOOKUP($A275,'MG Universe'!$A$2:$R$9994,3)</f>
        <v>B</v>
      </c>
      <c r="D275" s="19" t="str">
        <f>VLOOKUP($A275,'MG Universe'!$A$2:$R$9994,4)</f>
        <v>E</v>
      </c>
      <c r="E275" s="19" t="str">
        <f>VLOOKUP($A275,'MG Universe'!$A$2:$R$9994,5)</f>
        <v>O</v>
      </c>
      <c r="F275" s="20" t="str">
        <f>VLOOKUP($A275,'MG Universe'!$A$2:$R$9994,6)</f>
        <v>EO</v>
      </c>
      <c r="G275" s="103">
        <f>VLOOKUP($A275,'MG Universe'!$A$2:$R$9994,7)</f>
        <v>42400</v>
      </c>
      <c r="H275" s="22">
        <f>VLOOKUP($A275,'MG Universe'!$A$2:$R$9994,8)</f>
        <v>19.71</v>
      </c>
      <c r="I275" s="22">
        <f>VLOOKUP($A275,'MG Universe'!$A$2:$R$9994,9)</f>
        <v>42.3</v>
      </c>
      <c r="J275" s="23">
        <f>VLOOKUP($A275,'MG Universe'!$A$2:$R$9994,10)</f>
        <v>2.1461000000000001</v>
      </c>
      <c r="K275" s="105">
        <f>VLOOKUP($A275,'MG Universe'!$A$2:$R$9994,11)</f>
        <v>21.8</v>
      </c>
      <c r="L275" s="23">
        <f>VLOOKUP($A275,'MG Universe'!$A$2:$R$9994,12)</f>
        <v>3.0300000000000001E-2</v>
      </c>
      <c r="M275" s="106">
        <f>VLOOKUP($A275,'MG Universe'!$A$2:$R$9994,13)</f>
        <v>1.1000000000000001</v>
      </c>
      <c r="N275" s="107">
        <f>VLOOKUP($A275,'MG Universe'!$A$2:$R$9994,14)</f>
        <v>9.8800000000000008</v>
      </c>
      <c r="O275" s="22">
        <f>VLOOKUP($A275,'MG Universe'!$A$2:$R$9994,15)</f>
        <v>5.65</v>
      </c>
      <c r="P275" s="23">
        <f>VLOOKUP($A275,'MG Universe'!$A$2:$R$9994,16)</f>
        <v>6.6500000000000004E-2</v>
      </c>
      <c r="Q275" s="109">
        <f>VLOOKUP($A275,'MG Universe'!$A$2:$R$9994,17)</f>
        <v>20</v>
      </c>
      <c r="R275" s="22">
        <f>VLOOKUP($A275,'MG Universe'!$A$2:$R$9994,18)</f>
        <v>17.37</v>
      </c>
    </row>
    <row r="276" spans="1:18" x14ac:dyDescent="0.55000000000000004">
      <c r="A276" s="18" t="s">
        <v>926</v>
      </c>
      <c r="B276" s="19" t="str">
        <f>VLOOKUP($A276,'MG Universe'!$A$2:$R$9994,2)</f>
        <v>Eli Lilly and Co</v>
      </c>
      <c r="C276" s="19" t="str">
        <f>VLOOKUP($A276,'MG Universe'!$A$2:$R$9994,3)</f>
        <v>D+</v>
      </c>
      <c r="D276" s="19" t="str">
        <f>VLOOKUP($A276,'MG Universe'!$A$2:$R$9994,4)</f>
        <v>S</v>
      </c>
      <c r="E276" s="19" t="str">
        <f>VLOOKUP($A276,'MG Universe'!$A$2:$R$9994,5)</f>
        <v>O</v>
      </c>
      <c r="F276" s="20" t="str">
        <f>VLOOKUP($A276,'MG Universe'!$A$2:$R$9994,6)</f>
        <v>SO</v>
      </c>
      <c r="G276" s="103">
        <f>VLOOKUP($A276,'MG Universe'!$A$2:$R$9994,7)</f>
        <v>42135</v>
      </c>
      <c r="H276" s="22">
        <f>VLOOKUP($A276,'MG Universe'!$A$2:$R$9994,8)</f>
        <v>27.47</v>
      </c>
      <c r="I276" s="22">
        <f>VLOOKUP($A276,'MG Universe'!$A$2:$R$9994,9)</f>
        <v>74.02</v>
      </c>
      <c r="J276" s="23">
        <f>VLOOKUP($A276,'MG Universe'!$A$2:$R$9994,10)</f>
        <v>2.6945999999999999</v>
      </c>
      <c r="K276" s="105">
        <f>VLOOKUP($A276,'MG Universe'!$A$2:$R$9994,11)</f>
        <v>22.85</v>
      </c>
      <c r="L276" s="23">
        <f>VLOOKUP($A276,'MG Universe'!$A$2:$R$9994,12)</f>
        <v>2.76E-2</v>
      </c>
      <c r="M276" s="106">
        <f>VLOOKUP($A276,'MG Universe'!$A$2:$R$9994,13)</f>
        <v>0.2</v>
      </c>
      <c r="N276" s="107">
        <f>VLOOKUP($A276,'MG Universe'!$A$2:$R$9994,14)</f>
        <v>1.41</v>
      </c>
      <c r="O276" s="22">
        <f>VLOOKUP($A276,'MG Universe'!$A$2:$R$9994,15)</f>
        <v>-8.43</v>
      </c>
      <c r="P276" s="23">
        <f>VLOOKUP($A276,'MG Universe'!$A$2:$R$9994,16)</f>
        <v>7.17E-2</v>
      </c>
      <c r="Q276" s="109">
        <f>VLOOKUP($A276,'MG Universe'!$A$2:$R$9994,17)</f>
        <v>0</v>
      </c>
      <c r="R276" s="22">
        <f>VLOOKUP($A276,'MG Universe'!$A$2:$R$9994,18)</f>
        <v>0</v>
      </c>
    </row>
    <row r="277" spans="1:18" x14ac:dyDescent="0.55000000000000004">
      <c r="A277" s="18" t="s">
        <v>110</v>
      </c>
      <c r="B277" s="19" t="str">
        <f>VLOOKUP($A277,'MG Universe'!$A$2:$R$9994,2)</f>
        <v>Legg Mason Inc</v>
      </c>
      <c r="C277" s="19" t="str">
        <f>VLOOKUP($A277,'MG Universe'!$A$2:$R$9994,3)</f>
        <v>A-</v>
      </c>
      <c r="D277" s="19" t="str">
        <f>VLOOKUP($A277,'MG Universe'!$A$2:$R$9994,4)</f>
        <v>E</v>
      </c>
      <c r="E277" s="19" t="str">
        <f>VLOOKUP($A277,'MG Universe'!$A$2:$R$9994,5)</f>
        <v>U</v>
      </c>
      <c r="F277" s="20" t="str">
        <f>VLOOKUP($A277,'MG Universe'!$A$2:$R$9994,6)</f>
        <v>EU</v>
      </c>
      <c r="G277" s="103">
        <f>VLOOKUP($A277,'MG Universe'!$A$2:$R$9994,7)</f>
        <v>42349</v>
      </c>
      <c r="H277" s="22">
        <f>VLOOKUP($A277,'MG Universe'!$A$2:$R$9994,8)</f>
        <v>64.78</v>
      </c>
      <c r="I277" s="22">
        <f>VLOOKUP($A277,'MG Universe'!$A$2:$R$9994,9)</f>
        <v>30.78</v>
      </c>
      <c r="J277" s="23">
        <f>VLOOKUP($A277,'MG Universe'!$A$2:$R$9994,10)</f>
        <v>0.47510000000000002</v>
      </c>
      <c r="K277" s="105">
        <f>VLOOKUP($A277,'MG Universe'!$A$2:$R$9994,11)</f>
        <v>18.32</v>
      </c>
      <c r="L277" s="23">
        <f>VLOOKUP($A277,'MG Universe'!$A$2:$R$9994,12)</f>
        <v>2.5999999999999999E-2</v>
      </c>
      <c r="M277" s="106">
        <f>VLOOKUP($A277,'MG Universe'!$A$2:$R$9994,13)</f>
        <v>1.4</v>
      </c>
      <c r="N277" s="107">
        <f>VLOOKUP($A277,'MG Universe'!$A$2:$R$9994,14)</f>
        <v>2.96</v>
      </c>
      <c r="O277" s="22">
        <f>VLOOKUP($A277,'MG Universe'!$A$2:$R$9994,15)</f>
        <v>-6.02</v>
      </c>
      <c r="P277" s="23">
        <f>VLOOKUP($A277,'MG Universe'!$A$2:$R$9994,16)</f>
        <v>4.9099999999999998E-2</v>
      </c>
      <c r="Q277" s="109">
        <f>VLOOKUP($A277,'MG Universe'!$A$2:$R$9994,17)</f>
        <v>6</v>
      </c>
      <c r="R277" s="22">
        <f>VLOOKUP($A277,'MG Universe'!$A$2:$R$9994,18)</f>
        <v>50.67</v>
      </c>
    </row>
    <row r="278" spans="1:18" x14ac:dyDescent="0.55000000000000004">
      <c r="A278" s="18" t="s">
        <v>778</v>
      </c>
      <c r="B278" s="19" t="str">
        <f>VLOOKUP($A278,'MG Universe'!$A$2:$R$9994,2)</f>
        <v>Lockheed Martin Corporation</v>
      </c>
      <c r="C278" s="19" t="str">
        <f>VLOOKUP($A278,'MG Universe'!$A$2:$R$9994,3)</f>
        <v>D</v>
      </c>
      <c r="D278" s="19" t="str">
        <f>VLOOKUP($A278,'MG Universe'!$A$2:$R$9994,4)</f>
        <v>S</v>
      </c>
      <c r="E278" s="19" t="str">
        <f>VLOOKUP($A278,'MG Universe'!$A$2:$R$9994,5)</f>
        <v>O</v>
      </c>
      <c r="F278" s="20" t="str">
        <f>VLOOKUP($A278,'MG Universe'!$A$2:$R$9994,6)</f>
        <v>SO</v>
      </c>
      <c r="G278" s="103">
        <f>VLOOKUP($A278,'MG Universe'!$A$2:$R$9994,7)</f>
        <v>42036</v>
      </c>
      <c r="H278" s="22">
        <f>VLOOKUP($A278,'MG Universe'!$A$2:$R$9994,8)</f>
        <v>149.47</v>
      </c>
      <c r="I278" s="22">
        <f>VLOOKUP($A278,'MG Universe'!$A$2:$R$9994,9)</f>
        <v>217.2</v>
      </c>
      <c r="J278" s="23">
        <f>VLOOKUP($A278,'MG Universe'!$A$2:$R$9994,10)</f>
        <v>1.4531000000000001</v>
      </c>
      <c r="K278" s="105">
        <f>VLOOKUP($A278,'MG Universe'!$A$2:$R$9994,11)</f>
        <v>23.08</v>
      </c>
      <c r="L278" s="23">
        <f>VLOOKUP($A278,'MG Universe'!$A$2:$R$9994,12)</f>
        <v>3.04E-2</v>
      </c>
      <c r="M278" s="106">
        <f>VLOOKUP($A278,'MG Universe'!$A$2:$R$9994,13)</f>
        <v>0.6</v>
      </c>
      <c r="N278" s="107">
        <f>VLOOKUP($A278,'MG Universe'!$A$2:$R$9994,14)</f>
        <v>1.1100000000000001</v>
      </c>
      <c r="O278" s="22">
        <f>VLOOKUP($A278,'MG Universe'!$A$2:$R$9994,15)</f>
        <v>-66.58</v>
      </c>
      <c r="P278" s="23">
        <f>VLOOKUP($A278,'MG Universe'!$A$2:$R$9994,16)</f>
        <v>7.2900000000000006E-2</v>
      </c>
      <c r="Q278" s="109">
        <f>VLOOKUP($A278,'MG Universe'!$A$2:$R$9994,17)</f>
        <v>0</v>
      </c>
      <c r="R278" s="22">
        <f>VLOOKUP($A278,'MG Universe'!$A$2:$R$9994,18)</f>
        <v>0</v>
      </c>
    </row>
    <row r="279" spans="1:18" x14ac:dyDescent="0.55000000000000004">
      <c r="A279" s="18" t="s">
        <v>112</v>
      </c>
      <c r="B279" s="19" t="str">
        <f>VLOOKUP($A279,'MG Universe'!$A$2:$R$9994,2)</f>
        <v>Lincoln National Corporation</v>
      </c>
      <c r="C279" s="19" t="str">
        <f>VLOOKUP($A279,'MG Universe'!$A$2:$R$9994,3)</f>
        <v>A-</v>
      </c>
      <c r="D279" s="19" t="str">
        <f>VLOOKUP($A279,'MG Universe'!$A$2:$R$9994,4)</f>
        <v>E</v>
      </c>
      <c r="E279" s="19" t="str">
        <f>VLOOKUP($A279,'MG Universe'!$A$2:$R$9994,5)</f>
        <v>U</v>
      </c>
      <c r="F279" s="20" t="str">
        <f>VLOOKUP($A279,'MG Universe'!$A$2:$R$9994,6)</f>
        <v>EU</v>
      </c>
      <c r="G279" s="103">
        <f>VLOOKUP($A279,'MG Universe'!$A$2:$R$9994,7)</f>
        <v>42321</v>
      </c>
      <c r="H279" s="22">
        <f>VLOOKUP($A279,'MG Universe'!$A$2:$R$9994,8)</f>
        <v>179.03</v>
      </c>
      <c r="I279" s="22">
        <f>VLOOKUP($A279,'MG Universe'!$A$2:$R$9994,9)</f>
        <v>39.24</v>
      </c>
      <c r="J279" s="23">
        <f>VLOOKUP($A279,'MG Universe'!$A$2:$R$9994,10)</f>
        <v>0.21920000000000001</v>
      </c>
      <c r="K279" s="105">
        <f>VLOOKUP($A279,'MG Universe'!$A$2:$R$9994,11)</f>
        <v>8.44</v>
      </c>
      <c r="L279" s="23">
        <f>VLOOKUP($A279,'MG Universe'!$A$2:$R$9994,12)</f>
        <v>2.5499999999999998E-2</v>
      </c>
      <c r="M279" s="106">
        <f>VLOOKUP($A279,'MG Universe'!$A$2:$R$9994,13)</f>
        <v>2.2999999999999998</v>
      </c>
      <c r="N279" s="107" t="str">
        <f>VLOOKUP($A279,'MG Universe'!$A$2:$R$9994,14)</f>
        <v>N/A</v>
      </c>
      <c r="O279" s="22" t="str">
        <f>VLOOKUP($A279,'MG Universe'!$A$2:$R$9994,15)</f>
        <v>N/A</v>
      </c>
      <c r="P279" s="23">
        <f>VLOOKUP($A279,'MG Universe'!$A$2:$R$9994,16)</f>
        <v>-2.9999999999999997E-4</v>
      </c>
      <c r="Q279" s="109">
        <f>VLOOKUP($A279,'MG Universe'!$A$2:$R$9994,17)</f>
        <v>6</v>
      </c>
      <c r="R279" s="22">
        <f>VLOOKUP($A279,'MG Universe'!$A$2:$R$9994,18)</f>
        <v>78.23</v>
      </c>
    </row>
    <row r="280" spans="1:18" x14ac:dyDescent="0.55000000000000004">
      <c r="A280" s="18" t="s">
        <v>410</v>
      </c>
      <c r="B280" s="19" t="str">
        <f>VLOOKUP($A280,'MG Universe'!$A$2:$R$9994,2)</f>
        <v>Lowe's Companies, Inc.</v>
      </c>
      <c r="C280" s="19" t="str">
        <f>VLOOKUP($A280,'MG Universe'!$A$2:$R$9994,3)</f>
        <v>C</v>
      </c>
      <c r="D280" s="19" t="str">
        <f>VLOOKUP($A280,'MG Universe'!$A$2:$R$9994,4)</f>
        <v>S</v>
      </c>
      <c r="E280" s="19" t="str">
        <f>VLOOKUP($A280,'MG Universe'!$A$2:$R$9994,5)</f>
        <v>F</v>
      </c>
      <c r="F280" s="20" t="str">
        <f>VLOOKUP($A280,'MG Universe'!$A$2:$R$9994,6)</f>
        <v>SF</v>
      </c>
      <c r="G280" s="103">
        <f>VLOOKUP($A280,'MG Universe'!$A$2:$R$9994,7)</f>
        <v>42377</v>
      </c>
      <c r="H280" s="22">
        <f>VLOOKUP($A280,'MG Universe'!$A$2:$R$9994,8)</f>
        <v>83.53</v>
      </c>
      <c r="I280" s="22">
        <f>VLOOKUP($A280,'MG Universe'!$A$2:$R$9994,9)</f>
        <v>69.09</v>
      </c>
      <c r="J280" s="23">
        <f>VLOOKUP($A280,'MG Universe'!$A$2:$R$9994,10)</f>
        <v>0.82709999999999995</v>
      </c>
      <c r="K280" s="105">
        <f>VLOOKUP($A280,'MG Universe'!$A$2:$R$9994,11)</f>
        <v>26.99</v>
      </c>
      <c r="L280" s="23">
        <f>VLOOKUP($A280,'MG Universe'!$A$2:$R$9994,12)</f>
        <v>1.6199999999999999E-2</v>
      </c>
      <c r="M280" s="106">
        <f>VLOOKUP($A280,'MG Universe'!$A$2:$R$9994,13)</f>
        <v>1.1000000000000001</v>
      </c>
      <c r="N280" s="107">
        <f>VLOOKUP($A280,'MG Universe'!$A$2:$R$9994,14)</f>
        <v>1.02</v>
      </c>
      <c r="O280" s="22">
        <f>VLOOKUP($A280,'MG Universe'!$A$2:$R$9994,15)</f>
        <v>-13.99</v>
      </c>
      <c r="P280" s="23">
        <f>VLOOKUP($A280,'MG Universe'!$A$2:$R$9994,16)</f>
        <v>9.2399999999999996E-2</v>
      </c>
      <c r="Q280" s="109">
        <f>VLOOKUP($A280,'MG Universe'!$A$2:$R$9994,17)</f>
        <v>20</v>
      </c>
      <c r="R280" s="22">
        <f>VLOOKUP($A280,'MG Universe'!$A$2:$R$9994,18)</f>
        <v>25.82</v>
      </c>
    </row>
    <row r="281" spans="1:18" x14ac:dyDescent="0.55000000000000004">
      <c r="A281" s="18" t="s">
        <v>676</v>
      </c>
      <c r="B281" s="19" t="str">
        <f>VLOOKUP($A281,'MG Universe'!$A$2:$R$9994,2)</f>
        <v>Lam Research Corporation</v>
      </c>
      <c r="C281" s="19" t="str">
        <f>VLOOKUP($A281,'MG Universe'!$A$2:$R$9994,3)</f>
        <v>C+</v>
      </c>
      <c r="D281" s="19" t="str">
        <f>VLOOKUP($A281,'MG Universe'!$A$2:$R$9994,4)</f>
        <v>E</v>
      </c>
      <c r="E281" s="19" t="str">
        <f>VLOOKUP($A281,'MG Universe'!$A$2:$R$9994,5)</f>
        <v>F</v>
      </c>
      <c r="F281" s="20" t="str">
        <f>VLOOKUP($A281,'MG Universe'!$A$2:$R$9994,6)</f>
        <v>EF</v>
      </c>
      <c r="G281" s="103">
        <f>VLOOKUP($A281,'MG Universe'!$A$2:$R$9994,7)</f>
        <v>42373</v>
      </c>
      <c r="H281" s="22">
        <f>VLOOKUP($A281,'MG Universe'!$A$2:$R$9994,8)</f>
        <v>87.57</v>
      </c>
      <c r="I281" s="22">
        <f>VLOOKUP($A281,'MG Universe'!$A$2:$R$9994,9)</f>
        <v>74.55</v>
      </c>
      <c r="J281" s="23">
        <f>VLOOKUP($A281,'MG Universe'!$A$2:$R$9994,10)</f>
        <v>0.85129999999999995</v>
      </c>
      <c r="K281" s="105">
        <f>VLOOKUP($A281,'MG Universe'!$A$2:$R$9994,11)</f>
        <v>20.2</v>
      </c>
      <c r="L281" s="23">
        <f>VLOOKUP($A281,'MG Universe'!$A$2:$R$9994,12)</f>
        <v>1.61E-2</v>
      </c>
      <c r="M281" s="106">
        <f>VLOOKUP($A281,'MG Universe'!$A$2:$R$9994,13)</f>
        <v>1.3</v>
      </c>
      <c r="N281" s="107">
        <f>VLOOKUP($A281,'MG Universe'!$A$2:$R$9994,14)</f>
        <v>2.86</v>
      </c>
      <c r="O281" s="22">
        <f>VLOOKUP($A281,'MG Universe'!$A$2:$R$9994,15)</f>
        <v>13.07</v>
      </c>
      <c r="P281" s="23">
        <f>VLOOKUP($A281,'MG Universe'!$A$2:$R$9994,16)</f>
        <v>5.8500000000000003E-2</v>
      </c>
      <c r="Q281" s="109">
        <f>VLOOKUP($A281,'MG Universe'!$A$2:$R$9994,17)</f>
        <v>3</v>
      </c>
      <c r="R281" s="22">
        <f>VLOOKUP($A281,'MG Universe'!$A$2:$R$9994,18)</f>
        <v>64.17</v>
      </c>
    </row>
    <row r="282" spans="1:18" x14ac:dyDescent="0.55000000000000004">
      <c r="A282" s="18" t="s">
        <v>1097</v>
      </c>
      <c r="B282" s="19" t="str">
        <f>VLOOKUP($A282,'MG Universe'!$A$2:$R$9994,2)</f>
        <v>Leucadia National Corp.</v>
      </c>
      <c r="C282" s="19" t="str">
        <f>VLOOKUP($A282,'MG Universe'!$A$2:$R$9994,3)</f>
        <v>F</v>
      </c>
      <c r="D282" s="19" t="str">
        <f>VLOOKUP($A282,'MG Universe'!$A$2:$R$9994,4)</f>
        <v>S</v>
      </c>
      <c r="E282" s="19" t="str">
        <f>VLOOKUP($A282,'MG Universe'!$A$2:$R$9994,5)</f>
        <v>O</v>
      </c>
      <c r="F282" s="20" t="str">
        <f>VLOOKUP($A282,'MG Universe'!$A$2:$R$9994,6)</f>
        <v>SO</v>
      </c>
      <c r="G282" s="103">
        <f>VLOOKUP($A282,'MG Universe'!$A$2:$R$9994,7)</f>
        <v>42143</v>
      </c>
      <c r="H282" s="22">
        <f>VLOOKUP($A282,'MG Universe'!$A$2:$R$9994,8)</f>
        <v>0</v>
      </c>
      <c r="I282" s="22">
        <f>VLOOKUP($A282,'MG Universe'!$A$2:$R$9994,9)</f>
        <v>15.57</v>
      </c>
      <c r="J282" s="23" t="str">
        <f>VLOOKUP($A282,'MG Universe'!$A$2:$R$9994,10)</f>
        <v>N/A</v>
      </c>
      <c r="K282" s="105">
        <f>VLOOKUP($A282,'MG Universe'!$A$2:$R$9994,11)</f>
        <v>44.49</v>
      </c>
      <c r="L282" s="23">
        <f>VLOOKUP($A282,'MG Universe'!$A$2:$R$9994,12)</f>
        <v>1.61E-2</v>
      </c>
      <c r="M282" s="106">
        <f>VLOOKUP($A282,'MG Universe'!$A$2:$R$9994,13)</f>
        <v>1.5</v>
      </c>
      <c r="N282" s="107">
        <f>VLOOKUP($A282,'MG Universe'!$A$2:$R$9994,14)</f>
        <v>1.34</v>
      </c>
      <c r="O282" s="22">
        <f>VLOOKUP($A282,'MG Universe'!$A$2:$R$9994,15)</f>
        <v>5.57</v>
      </c>
      <c r="P282" s="23">
        <f>VLOOKUP($A282,'MG Universe'!$A$2:$R$9994,16)</f>
        <v>0.1799</v>
      </c>
      <c r="Q282" s="109">
        <f>VLOOKUP($A282,'MG Universe'!$A$2:$R$9994,17)</f>
        <v>0</v>
      </c>
      <c r="R282" s="22">
        <f>VLOOKUP($A282,'MG Universe'!$A$2:$R$9994,18)</f>
        <v>0</v>
      </c>
    </row>
    <row r="283" spans="1:18" x14ac:dyDescent="0.55000000000000004">
      <c r="A283" s="18" t="s">
        <v>928</v>
      </c>
      <c r="B283" s="19" t="str">
        <f>VLOOKUP($A283,'MG Universe'!$A$2:$R$9994,2)</f>
        <v>Southwest Airlines Co</v>
      </c>
      <c r="C283" s="19" t="str">
        <f>VLOOKUP($A283,'MG Universe'!$A$2:$R$9994,3)</f>
        <v>D+</v>
      </c>
      <c r="D283" s="19" t="str">
        <f>VLOOKUP($A283,'MG Universe'!$A$2:$R$9994,4)</f>
        <v>S</v>
      </c>
      <c r="E283" s="19" t="str">
        <f>VLOOKUP($A283,'MG Universe'!$A$2:$R$9994,5)</f>
        <v>U</v>
      </c>
      <c r="F283" s="20" t="str">
        <f>VLOOKUP($A283,'MG Universe'!$A$2:$R$9994,6)</f>
        <v>SU</v>
      </c>
      <c r="G283" s="103">
        <f>VLOOKUP($A283,'MG Universe'!$A$2:$R$9994,7)</f>
        <v>42292</v>
      </c>
      <c r="H283" s="22">
        <f>VLOOKUP($A283,'MG Universe'!$A$2:$R$9994,8)</f>
        <v>69.84</v>
      </c>
      <c r="I283" s="22">
        <f>VLOOKUP($A283,'MG Universe'!$A$2:$R$9994,9)</f>
        <v>41.94</v>
      </c>
      <c r="J283" s="23">
        <f>VLOOKUP($A283,'MG Universe'!$A$2:$R$9994,10)</f>
        <v>0.60050000000000003</v>
      </c>
      <c r="K283" s="105">
        <f>VLOOKUP($A283,'MG Universe'!$A$2:$R$9994,11)</f>
        <v>23.17</v>
      </c>
      <c r="L283" s="23">
        <f>VLOOKUP($A283,'MG Universe'!$A$2:$R$9994,12)</f>
        <v>7.1999999999999998E-3</v>
      </c>
      <c r="M283" s="106">
        <f>VLOOKUP($A283,'MG Universe'!$A$2:$R$9994,13)</f>
        <v>1</v>
      </c>
      <c r="N283" s="107">
        <f>VLOOKUP($A283,'MG Universe'!$A$2:$R$9994,14)</f>
        <v>0.67</v>
      </c>
      <c r="O283" s="22">
        <f>VLOOKUP($A283,'MG Universe'!$A$2:$R$9994,15)</f>
        <v>-13.85</v>
      </c>
      <c r="P283" s="23">
        <f>VLOOKUP($A283,'MG Universe'!$A$2:$R$9994,16)</f>
        <v>7.3400000000000007E-2</v>
      </c>
      <c r="Q283" s="109">
        <f>VLOOKUP($A283,'MG Universe'!$A$2:$R$9994,17)</f>
        <v>4</v>
      </c>
      <c r="R283" s="22">
        <f>VLOOKUP($A283,'MG Universe'!$A$2:$R$9994,18)</f>
        <v>28.09</v>
      </c>
    </row>
    <row r="284" spans="1:18" x14ac:dyDescent="0.55000000000000004">
      <c r="A284" s="18" t="s">
        <v>1099</v>
      </c>
      <c r="B284" s="19" t="str">
        <f>VLOOKUP($A284,'MG Universe'!$A$2:$R$9994,2)</f>
        <v>Level 3 Communications, Inc.</v>
      </c>
      <c r="C284" s="19" t="str">
        <f>VLOOKUP($A284,'MG Universe'!$A$2:$R$9994,3)</f>
        <v>F</v>
      </c>
      <c r="D284" s="19" t="str">
        <f>VLOOKUP($A284,'MG Universe'!$A$2:$R$9994,4)</f>
        <v>S</v>
      </c>
      <c r="E284" s="19" t="str">
        <f>VLOOKUP($A284,'MG Universe'!$A$2:$R$9994,5)</f>
        <v>O</v>
      </c>
      <c r="F284" s="20" t="str">
        <f>VLOOKUP($A284,'MG Universe'!$A$2:$R$9994,6)</f>
        <v>SO</v>
      </c>
      <c r="G284" s="103">
        <f>VLOOKUP($A284,'MG Universe'!$A$2:$R$9994,7)</f>
        <v>42206</v>
      </c>
      <c r="H284" s="22">
        <f>VLOOKUP($A284,'MG Universe'!$A$2:$R$9994,8)</f>
        <v>3.7</v>
      </c>
      <c r="I284" s="22">
        <f>VLOOKUP($A284,'MG Universe'!$A$2:$R$9994,9)</f>
        <v>50.69</v>
      </c>
      <c r="J284" s="23">
        <f>VLOOKUP($A284,'MG Universe'!$A$2:$R$9994,10)</f>
        <v>13.7</v>
      </c>
      <c r="K284" s="105">
        <f>VLOOKUP($A284,'MG Universe'!$A$2:$R$9994,11)</f>
        <v>506.9</v>
      </c>
      <c r="L284" s="23" t="str">
        <f>VLOOKUP($A284,'MG Universe'!$A$2:$R$9994,12)</f>
        <v>N/A</v>
      </c>
      <c r="M284" s="106">
        <f>VLOOKUP($A284,'MG Universe'!$A$2:$R$9994,13)</f>
        <v>1.8</v>
      </c>
      <c r="N284" s="107">
        <f>VLOOKUP($A284,'MG Universe'!$A$2:$R$9994,14)</f>
        <v>1.05</v>
      </c>
      <c r="O284" s="22">
        <f>VLOOKUP($A284,'MG Universe'!$A$2:$R$9994,15)</f>
        <v>-35.729999999999997</v>
      </c>
      <c r="P284" s="23">
        <f>VLOOKUP($A284,'MG Universe'!$A$2:$R$9994,16)</f>
        <v>2.492</v>
      </c>
      <c r="Q284" s="109">
        <f>VLOOKUP($A284,'MG Universe'!$A$2:$R$9994,17)</f>
        <v>0</v>
      </c>
      <c r="R284" s="22">
        <f>VLOOKUP($A284,'MG Universe'!$A$2:$R$9994,18)</f>
        <v>0</v>
      </c>
    </row>
    <row r="285" spans="1:18" x14ac:dyDescent="0.55000000000000004">
      <c r="A285" s="18" t="s">
        <v>185</v>
      </c>
      <c r="B285" s="19" t="str">
        <f>VLOOKUP($A285,'MG Universe'!$A$2:$R$9994,2)</f>
        <v>LyondellBasell Industries NV</v>
      </c>
      <c r="C285" s="19" t="str">
        <f>VLOOKUP($A285,'MG Universe'!$A$2:$R$9994,3)</f>
        <v>B</v>
      </c>
      <c r="D285" s="19" t="str">
        <f>VLOOKUP($A285,'MG Universe'!$A$2:$R$9994,4)</f>
        <v>E</v>
      </c>
      <c r="E285" s="19" t="str">
        <f>VLOOKUP($A285,'MG Universe'!$A$2:$R$9994,5)</f>
        <v>U</v>
      </c>
      <c r="F285" s="20" t="str">
        <f>VLOOKUP($A285,'MG Universe'!$A$2:$R$9994,6)</f>
        <v>EU</v>
      </c>
      <c r="G285" s="103">
        <f>VLOOKUP($A285,'MG Universe'!$A$2:$R$9994,7)</f>
        <v>42333</v>
      </c>
      <c r="H285" s="22">
        <f>VLOOKUP($A285,'MG Universe'!$A$2:$R$9994,8)</f>
        <v>293.33999999999997</v>
      </c>
      <c r="I285" s="22">
        <f>VLOOKUP($A285,'MG Universe'!$A$2:$R$9994,9)</f>
        <v>80.430000000000007</v>
      </c>
      <c r="J285" s="23">
        <f>VLOOKUP($A285,'MG Universe'!$A$2:$R$9994,10)</f>
        <v>0.2742</v>
      </c>
      <c r="K285" s="105">
        <f>VLOOKUP($A285,'MG Universe'!$A$2:$R$9994,11)</f>
        <v>10.56</v>
      </c>
      <c r="L285" s="23">
        <f>VLOOKUP($A285,'MG Universe'!$A$2:$R$9994,12)</f>
        <v>3.8800000000000001E-2</v>
      </c>
      <c r="M285" s="106">
        <f>VLOOKUP($A285,'MG Universe'!$A$2:$R$9994,13)</f>
        <v>1.8</v>
      </c>
      <c r="N285" s="107">
        <f>VLOOKUP($A285,'MG Universe'!$A$2:$R$9994,14)</f>
        <v>2.16</v>
      </c>
      <c r="O285" s="22">
        <f>VLOOKUP($A285,'MG Universe'!$A$2:$R$9994,15)</f>
        <v>-11.68</v>
      </c>
      <c r="P285" s="23">
        <f>VLOOKUP($A285,'MG Universe'!$A$2:$R$9994,16)</f>
        <v>1.03E-2</v>
      </c>
      <c r="Q285" s="109">
        <f>VLOOKUP($A285,'MG Universe'!$A$2:$R$9994,17)</f>
        <v>5</v>
      </c>
      <c r="R285" s="22">
        <f>VLOOKUP($A285,'MG Universe'!$A$2:$R$9994,18)</f>
        <v>59.42</v>
      </c>
    </row>
    <row r="286" spans="1:18" x14ac:dyDescent="0.55000000000000004">
      <c r="A286" s="18" t="s">
        <v>413</v>
      </c>
      <c r="B286" s="19" t="str">
        <f>VLOOKUP($A286,'MG Universe'!$A$2:$R$9994,2)</f>
        <v>Macy's, Inc.</v>
      </c>
      <c r="C286" s="19" t="str">
        <f>VLOOKUP($A286,'MG Universe'!$A$2:$R$9994,3)</f>
        <v>C</v>
      </c>
      <c r="D286" s="19" t="str">
        <f>VLOOKUP($A286,'MG Universe'!$A$2:$R$9994,4)</f>
        <v>S</v>
      </c>
      <c r="E286" s="19" t="str">
        <f>VLOOKUP($A286,'MG Universe'!$A$2:$R$9994,5)</f>
        <v>U</v>
      </c>
      <c r="F286" s="20" t="str">
        <f>VLOOKUP($A286,'MG Universe'!$A$2:$R$9994,6)</f>
        <v>SU</v>
      </c>
      <c r="G286" s="103">
        <f>VLOOKUP($A286,'MG Universe'!$A$2:$R$9994,7)</f>
        <v>42045</v>
      </c>
      <c r="H286" s="22">
        <f>VLOOKUP($A286,'MG Universe'!$A$2:$R$9994,8)</f>
        <v>138.81</v>
      </c>
      <c r="I286" s="22">
        <f>VLOOKUP($A286,'MG Universe'!$A$2:$R$9994,9)</f>
        <v>43.97</v>
      </c>
      <c r="J286" s="23">
        <f>VLOOKUP($A286,'MG Universe'!$A$2:$R$9994,10)</f>
        <v>0.31680000000000003</v>
      </c>
      <c r="K286" s="105">
        <f>VLOOKUP($A286,'MG Universe'!$A$2:$R$9994,11)</f>
        <v>12.18</v>
      </c>
      <c r="L286" s="23">
        <f>VLOOKUP($A286,'MG Universe'!$A$2:$R$9994,12)</f>
        <v>3.27E-2</v>
      </c>
      <c r="M286" s="106">
        <f>VLOOKUP($A286,'MG Universe'!$A$2:$R$9994,13)</f>
        <v>0.8</v>
      </c>
      <c r="N286" s="107">
        <f>VLOOKUP($A286,'MG Universe'!$A$2:$R$9994,14)</f>
        <v>1.37</v>
      </c>
      <c r="O286" s="22">
        <f>VLOOKUP($A286,'MG Universe'!$A$2:$R$9994,15)</f>
        <v>-21.03</v>
      </c>
      <c r="P286" s="23">
        <f>VLOOKUP($A286,'MG Universe'!$A$2:$R$9994,16)</f>
        <v>1.84E-2</v>
      </c>
      <c r="Q286" s="109">
        <f>VLOOKUP($A286,'MG Universe'!$A$2:$R$9994,17)</f>
        <v>0</v>
      </c>
      <c r="R286" s="22">
        <f>VLOOKUP($A286,'MG Universe'!$A$2:$R$9994,18)</f>
        <v>0</v>
      </c>
    </row>
    <row r="287" spans="1:18" x14ac:dyDescent="0.55000000000000004">
      <c r="A287" s="18" t="s">
        <v>415</v>
      </c>
      <c r="B287" s="19" t="str">
        <f>VLOOKUP($A287,'MG Universe'!$A$2:$R$9994,2)</f>
        <v>Mastercard Inc</v>
      </c>
      <c r="C287" s="19" t="str">
        <f>VLOOKUP($A287,'MG Universe'!$A$2:$R$9994,3)</f>
        <v>C</v>
      </c>
      <c r="D287" s="19" t="str">
        <f>VLOOKUP($A287,'MG Universe'!$A$2:$R$9994,4)</f>
        <v>E</v>
      </c>
      <c r="E287" s="19" t="str">
        <f>VLOOKUP($A287,'MG Universe'!$A$2:$R$9994,5)</f>
        <v>F</v>
      </c>
      <c r="F287" s="20" t="str">
        <f>VLOOKUP($A287,'MG Universe'!$A$2:$R$9994,6)</f>
        <v>EF</v>
      </c>
      <c r="G287" s="103">
        <f>VLOOKUP($A287,'MG Universe'!$A$2:$R$9994,7)</f>
        <v>42374</v>
      </c>
      <c r="H287" s="22">
        <f>VLOOKUP($A287,'MG Universe'!$A$2:$R$9994,8)</f>
        <v>107.66</v>
      </c>
      <c r="I287" s="22">
        <f>VLOOKUP($A287,'MG Universe'!$A$2:$R$9994,9)</f>
        <v>89.86</v>
      </c>
      <c r="J287" s="23">
        <f>VLOOKUP($A287,'MG Universe'!$A$2:$R$9994,10)</f>
        <v>0.8347</v>
      </c>
      <c r="K287" s="105">
        <f>VLOOKUP($A287,'MG Universe'!$A$2:$R$9994,11)</f>
        <v>32.090000000000003</v>
      </c>
      <c r="L287" s="23">
        <f>VLOOKUP($A287,'MG Universe'!$A$2:$R$9994,12)</f>
        <v>8.5000000000000006E-3</v>
      </c>
      <c r="M287" s="106">
        <f>VLOOKUP($A287,'MG Universe'!$A$2:$R$9994,13)</f>
        <v>1</v>
      </c>
      <c r="N287" s="107">
        <f>VLOOKUP($A287,'MG Universe'!$A$2:$R$9994,14)</f>
        <v>1.62</v>
      </c>
      <c r="O287" s="22">
        <f>VLOOKUP($A287,'MG Universe'!$A$2:$R$9994,15)</f>
        <v>1.1100000000000001</v>
      </c>
      <c r="P287" s="23">
        <f>VLOOKUP($A287,'MG Universe'!$A$2:$R$9994,16)</f>
        <v>0.11799999999999999</v>
      </c>
      <c r="Q287" s="109">
        <f>VLOOKUP($A287,'MG Universe'!$A$2:$R$9994,17)</f>
        <v>4</v>
      </c>
      <c r="R287" s="22">
        <f>VLOOKUP($A287,'MG Universe'!$A$2:$R$9994,18)</f>
        <v>20.03</v>
      </c>
    </row>
    <row r="288" spans="1:18" x14ac:dyDescent="0.55000000000000004">
      <c r="A288" s="18" t="s">
        <v>326</v>
      </c>
      <c r="B288" s="19" t="str">
        <f>VLOOKUP($A288,'MG Universe'!$A$2:$R$9994,2)</f>
        <v>Macerich Co</v>
      </c>
      <c r="C288" s="19" t="str">
        <f>VLOOKUP($A288,'MG Universe'!$A$2:$R$9994,3)</f>
        <v>B+</v>
      </c>
      <c r="D288" s="19" t="str">
        <f>VLOOKUP($A288,'MG Universe'!$A$2:$R$9994,4)</f>
        <v>D</v>
      </c>
      <c r="E288" s="19" t="str">
        <f>VLOOKUP($A288,'MG Universe'!$A$2:$R$9994,5)</f>
        <v>U</v>
      </c>
      <c r="F288" s="20" t="str">
        <f>VLOOKUP($A288,'MG Universe'!$A$2:$R$9994,6)</f>
        <v>DU</v>
      </c>
      <c r="G288" s="103">
        <f>VLOOKUP($A288,'MG Universe'!$A$2:$R$9994,7)</f>
        <v>42375</v>
      </c>
      <c r="H288" s="22">
        <f>VLOOKUP($A288,'MG Universe'!$A$2:$R$9994,8)</f>
        <v>164.4</v>
      </c>
      <c r="I288" s="22">
        <f>VLOOKUP($A288,'MG Universe'!$A$2:$R$9994,9)</f>
        <v>80.459999999999994</v>
      </c>
      <c r="J288" s="23">
        <f>VLOOKUP($A288,'MG Universe'!$A$2:$R$9994,10)</f>
        <v>0.4894</v>
      </c>
      <c r="K288" s="105">
        <f>VLOOKUP($A288,'MG Universe'!$A$2:$R$9994,11)</f>
        <v>18.84</v>
      </c>
      <c r="L288" s="23">
        <f>VLOOKUP($A288,'MG Universe'!$A$2:$R$9994,12)</f>
        <v>3.3799999999999997E-2</v>
      </c>
      <c r="M288" s="106">
        <f>VLOOKUP($A288,'MG Universe'!$A$2:$R$9994,13)</f>
        <v>1</v>
      </c>
      <c r="N288" s="107">
        <f>VLOOKUP($A288,'MG Universe'!$A$2:$R$9994,14)</f>
        <v>0.37</v>
      </c>
      <c r="O288" s="22">
        <f>VLOOKUP($A288,'MG Universe'!$A$2:$R$9994,15)</f>
        <v>-48.51</v>
      </c>
      <c r="P288" s="23">
        <f>VLOOKUP($A288,'MG Universe'!$A$2:$R$9994,16)</f>
        <v>5.1700000000000003E-2</v>
      </c>
      <c r="Q288" s="109">
        <f>VLOOKUP($A288,'MG Universe'!$A$2:$R$9994,17)</f>
        <v>4</v>
      </c>
      <c r="R288" s="22">
        <f>VLOOKUP($A288,'MG Universe'!$A$2:$R$9994,18)</f>
        <v>32.96</v>
      </c>
    </row>
    <row r="289" spans="1:18" x14ac:dyDescent="0.55000000000000004">
      <c r="A289" s="18" t="s">
        <v>780</v>
      </c>
      <c r="B289" s="19" t="str">
        <f>VLOOKUP($A289,'MG Universe'!$A$2:$R$9994,2)</f>
        <v>Marriott International Inc</v>
      </c>
      <c r="C289" s="19" t="str">
        <f>VLOOKUP($A289,'MG Universe'!$A$2:$R$9994,3)</f>
        <v>D</v>
      </c>
      <c r="D289" s="19" t="str">
        <f>VLOOKUP($A289,'MG Universe'!$A$2:$R$9994,4)</f>
        <v>S</v>
      </c>
      <c r="E289" s="19" t="str">
        <f>VLOOKUP($A289,'MG Universe'!$A$2:$R$9994,5)</f>
        <v>F</v>
      </c>
      <c r="F289" s="20" t="str">
        <f>VLOOKUP($A289,'MG Universe'!$A$2:$R$9994,6)</f>
        <v>SF</v>
      </c>
      <c r="G289" s="103">
        <f>VLOOKUP($A289,'MG Universe'!$A$2:$R$9994,7)</f>
        <v>42090</v>
      </c>
      <c r="H289" s="22">
        <f>VLOOKUP($A289,'MG Universe'!$A$2:$R$9994,8)</f>
        <v>72.3</v>
      </c>
      <c r="I289" s="22">
        <f>VLOOKUP($A289,'MG Universe'!$A$2:$R$9994,9)</f>
        <v>68.83</v>
      </c>
      <c r="J289" s="23">
        <f>VLOOKUP($A289,'MG Universe'!$A$2:$R$9994,10)</f>
        <v>0.95199999999999996</v>
      </c>
      <c r="K289" s="105">
        <f>VLOOKUP($A289,'MG Universe'!$A$2:$R$9994,11)</f>
        <v>36.61</v>
      </c>
      <c r="L289" s="23">
        <f>VLOOKUP($A289,'MG Universe'!$A$2:$R$9994,12)</f>
        <v>1.4500000000000001E-2</v>
      </c>
      <c r="M289" s="106">
        <f>VLOOKUP($A289,'MG Universe'!$A$2:$R$9994,13)</f>
        <v>1.3</v>
      </c>
      <c r="N289" s="107">
        <f>VLOOKUP($A289,'MG Universe'!$A$2:$R$9994,14)</f>
        <v>0.63</v>
      </c>
      <c r="O289" s="22">
        <f>VLOOKUP($A289,'MG Universe'!$A$2:$R$9994,15)</f>
        <v>-24.72</v>
      </c>
      <c r="P289" s="23">
        <f>VLOOKUP($A289,'MG Universe'!$A$2:$R$9994,16)</f>
        <v>0.1406</v>
      </c>
      <c r="Q289" s="109">
        <f>VLOOKUP($A289,'MG Universe'!$A$2:$R$9994,17)</f>
        <v>0</v>
      </c>
      <c r="R289" s="22">
        <f>VLOOKUP($A289,'MG Universe'!$A$2:$R$9994,18)</f>
        <v>0</v>
      </c>
    </row>
    <row r="290" spans="1:18" x14ac:dyDescent="0.55000000000000004">
      <c r="A290" s="18" t="s">
        <v>782</v>
      </c>
      <c r="B290" s="19" t="str">
        <f>VLOOKUP($A290,'MG Universe'!$A$2:$R$9994,2)</f>
        <v>Masco Corp</v>
      </c>
      <c r="C290" s="19" t="str">
        <f>VLOOKUP($A290,'MG Universe'!$A$2:$R$9994,3)</f>
        <v>D</v>
      </c>
      <c r="D290" s="19" t="str">
        <f>VLOOKUP($A290,'MG Universe'!$A$2:$R$9994,4)</f>
        <v>S</v>
      </c>
      <c r="E290" s="19" t="str">
        <f>VLOOKUP($A290,'MG Universe'!$A$2:$R$9994,5)</f>
        <v>F</v>
      </c>
      <c r="F290" s="20" t="str">
        <f>VLOOKUP($A290,'MG Universe'!$A$2:$R$9994,6)</f>
        <v>SF</v>
      </c>
      <c r="G290" s="103">
        <f>VLOOKUP($A290,'MG Universe'!$A$2:$R$9994,7)</f>
        <v>42249</v>
      </c>
      <c r="H290" s="22">
        <f>VLOOKUP($A290,'MG Universe'!$A$2:$R$9994,8)</f>
        <v>36.96</v>
      </c>
      <c r="I290" s="22">
        <f>VLOOKUP($A290,'MG Universe'!$A$2:$R$9994,9)</f>
        <v>29.07</v>
      </c>
      <c r="J290" s="23">
        <f>VLOOKUP($A290,'MG Universe'!$A$2:$R$9994,10)</f>
        <v>0.78649999999999998</v>
      </c>
      <c r="K290" s="105">
        <f>VLOOKUP($A290,'MG Universe'!$A$2:$R$9994,11)</f>
        <v>30.28</v>
      </c>
      <c r="L290" s="23">
        <f>VLOOKUP($A290,'MG Universe'!$A$2:$R$9994,12)</f>
        <v>1.3100000000000001E-2</v>
      </c>
      <c r="M290" s="106">
        <f>VLOOKUP($A290,'MG Universe'!$A$2:$R$9994,13)</f>
        <v>2</v>
      </c>
      <c r="N290" s="107">
        <f>VLOOKUP($A290,'MG Universe'!$A$2:$R$9994,14)</f>
        <v>2.2599999999999998</v>
      </c>
      <c r="O290" s="22">
        <f>VLOOKUP($A290,'MG Universe'!$A$2:$R$9994,15)</f>
        <v>-6.76</v>
      </c>
      <c r="P290" s="23">
        <f>VLOOKUP($A290,'MG Universe'!$A$2:$R$9994,16)</f>
        <v>0.1089</v>
      </c>
      <c r="Q290" s="109">
        <f>VLOOKUP($A290,'MG Universe'!$A$2:$R$9994,17)</f>
        <v>0</v>
      </c>
      <c r="R290" s="22" t="str">
        <f>VLOOKUP($A290,'MG Universe'!$A$2:$R$9994,18)</f>
        <v>N/A</v>
      </c>
    </row>
    <row r="291" spans="1:18" x14ac:dyDescent="0.55000000000000004">
      <c r="A291" s="18" t="s">
        <v>930</v>
      </c>
      <c r="B291" s="19" t="str">
        <f>VLOOKUP($A291,'MG Universe'!$A$2:$R$9994,2)</f>
        <v>Mattel, Inc.</v>
      </c>
      <c r="C291" s="19" t="str">
        <f>VLOOKUP($A291,'MG Universe'!$A$2:$R$9994,3)</f>
        <v>D+</v>
      </c>
      <c r="D291" s="19" t="str">
        <f>VLOOKUP($A291,'MG Universe'!$A$2:$R$9994,4)</f>
        <v>S</v>
      </c>
      <c r="E291" s="19" t="str">
        <f>VLOOKUP($A291,'MG Universe'!$A$2:$R$9994,5)</f>
        <v>O</v>
      </c>
      <c r="F291" s="20" t="str">
        <f>VLOOKUP($A291,'MG Universe'!$A$2:$R$9994,6)</f>
        <v>SO</v>
      </c>
      <c r="G291" s="103">
        <f>VLOOKUP($A291,'MG Universe'!$A$2:$R$9994,7)</f>
        <v>42399</v>
      </c>
      <c r="H291" s="22">
        <f>VLOOKUP($A291,'MG Universe'!$A$2:$R$9994,8)</f>
        <v>11.43</v>
      </c>
      <c r="I291" s="22">
        <f>VLOOKUP($A291,'MG Universe'!$A$2:$R$9994,9)</f>
        <v>32.64</v>
      </c>
      <c r="J291" s="23">
        <f>VLOOKUP($A291,'MG Universe'!$A$2:$R$9994,10)</f>
        <v>2.8555999999999999</v>
      </c>
      <c r="K291" s="105">
        <f>VLOOKUP($A291,'MG Universe'!$A$2:$R$9994,11)</f>
        <v>19.66</v>
      </c>
      <c r="L291" s="23">
        <f>VLOOKUP($A291,'MG Universe'!$A$2:$R$9994,12)</f>
        <v>4.6600000000000003E-2</v>
      </c>
      <c r="M291" s="106">
        <f>VLOOKUP($A291,'MG Universe'!$A$2:$R$9994,13)</f>
        <v>0.9</v>
      </c>
      <c r="N291" s="107">
        <f>VLOOKUP($A291,'MG Universe'!$A$2:$R$9994,14)</f>
        <v>2.21</v>
      </c>
      <c r="O291" s="22">
        <f>VLOOKUP($A291,'MG Universe'!$A$2:$R$9994,15)</f>
        <v>-2.63</v>
      </c>
      <c r="P291" s="23">
        <f>VLOOKUP($A291,'MG Universe'!$A$2:$R$9994,16)</f>
        <v>5.5800000000000002E-2</v>
      </c>
      <c r="Q291" s="109">
        <f>VLOOKUP($A291,'MG Universe'!$A$2:$R$9994,17)</f>
        <v>6</v>
      </c>
      <c r="R291" s="22">
        <f>VLOOKUP($A291,'MG Universe'!$A$2:$R$9994,18)</f>
        <v>12.73</v>
      </c>
    </row>
    <row r="292" spans="1:18" x14ac:dyDescent="0.55000000000000004">
      <c r="A292" s="18" t="s">
        <v>187</v>
      </c>
      <c r="B292" s="19" t="str">
        <f>VLOOKUP($A292,'MG Universe'!$A$2:$R$9994,2)</f>
        <v>McDonald's Corporation</v>
      </c>
      <c r="C292" s="19" t="str">
        <f>VLOOKUP($A292,'MG Universe'!$A$2:$R$9994,3)</f>
        <v>B</v>
      </c>
      <c r="D292" s="19" t="str">
        <f>VLOOKUP($A292,'MG Universe'!$A$2:$R$9994,4)</f>
        <v>E</v>
      </c>
      <c r="E292" s="19" t="str">
        <f>VLOOKUP($A292,'MG Universe'!$A$2:$R$9994,5)</f>
        <v>O</v>
      </c>
      <c r="F292" s="20" t="str">
        <f>VLOOKUP($A292,'MG Universe'!$A$2:$R$9994,6)</f>
        <v>EO</v>
      </c>
      <c r="G292" s="103">
        <f>VLOOKUP($A292,'MG Universe'!$A$2:$R$9994,7)</f>
        <v>42318</v>
      </c>
      <c r="H292" s="22">
        <f>VLOOKUP($A292,'MG Universe'!$A$2:$R$9994,8)</f>
        <v>61.89</v>
      </c>
      <c r="I292" s="22">
        <f>VLOOKUP($A292,'MG Universe'!$A$2:$R$9994,9)</f>
        <v>118.48</v>
      </c>
      <c r="J292" s="23">
        <f>VLOOKUP($A292,'MG Universe'!$A$2:$R$9994,10)</f>
        <v>1.9144000000000001</v>
      </c>
      <c r="K292" s="105">
        <f>VLOOKUP($A292,'MG Universe'!$A$2:$R$9994,11)</f>
        <v>23.7</v>
      </c>
      <c r="L292" s="23">
        <f>VLOOKUP($A292,'MG Universe'!$A$2:$R$9994,12)</f>
        <v>0.03</v>
      </c>
      <c r="M292" s="106">
        <f>VLOOKUP($A292,'MG Universe'!$A$2:$R$9994,13)</f>
        <v>0.5</v>
      </c>
      <c r="N292" s="107">
        <f>VLOOKUP($A292,'MG Universe'!$A$2:$R$9994,14)</f>
        <v>1.52</v>
      </c>
      <c r="O292" s="22">
        <f>VLOOKUP($A292,'MG Universe'!$A$2:$R$9994,15)</f>
        <v>-21.56</v>
      </c>
      <c r="P292" s="23">
        <f>VLOOKUP($A292,'MG Universe'!$A$2:$R$9994,16)</f>
        <v>7.5999999999999998E-2</v>
      </c>
      <c r="Q292" s="109">
        <f>VLOOKUP($A292,'MG Universe'!$A$2:$R$9994,17)</f>
        <v>20</v>
      </c>
      <c r="R292" s="22">
        <f>VLOOKUP($A292,'MG Universe'!$A$2:$R$9994,18)</f>
        <v>30.31</v>
      </c>
    </row>
    <row r="293" spans="1:18" x14ac:dyDescent="0.55000000000000004">
      <c r="A293" s="18" t="s">
        <v>417</v>
      </c>
      <c r="B293" s="19" t="str">
        <f>VLOOKUP($A293,'MG Universe'!$A$2:$R$9994,2)</f>
        <v>Microchip Technology Inc.</v>
      </c>
      <c r="C293" s="19" t="str">
        <f>VLOOKUP($A293,'MG Universe'!$A$2:$R$9994,3)</f>
        <v>C</v>
      </c>
      <c r="D293" s="19" t="str">
        <f>VLOOKUP($A293,'MG Universe'!$A$2:$R$9994,4)</f>
        <v>E</v>
      </c>
      <c r="E293" s="19" t="str">
        <f>VLOOKUP($A293,'MG Universe'!$A$2:$R$9994,5)</f>
        <v>O</v>
      </c>
      <c r="F293" s="20" t="str">
        <f>VLOOKUP($A293,'MG Universe'!$A$2:$R$9994,6)</f>
        <v>EO</v>
      </c>
      <c r="G293" s="103">
        <f>VLOOKUP($A293,'MG Universe'!$A$2:$R$9994,7)</f>
        <v>42394</v>
      </c>
      <c r="H293" s="22">
        <f>VLOOKUP($A293,'MG Universe'!$A$2:$R$9994,8)</f>
        <v>17.41</v>
      </c>
      <c r="I293" s="22">
        <f>VLOOKUP($A293,'MG Universe'!$A$2:$R$9994,9)</f>
        <v>45.74</v>
      </c>
      <c r="J293" s="23">
        <f>VLOOKUP($A293,'MG Universe'!$A$2:$R$9994,10)</f>
        <v>2.6272000000000002</v>
      </c>
      <c r="K293" s="105">
        <f>VLOOKUP($A293,'MG Universe'!$A$2:$R$9994,11)</f>
        <v>26.75</v>
      </c>
      <c r="L293" s="23">
        <f>VLOOKUP($A293,'MG Universe'!$A$2:$R$9994,12)</f>
        <v>3.15E-2</v>
      </c>
      <c r="M293" s="106">
        <f>VLOOKUP($A293,'MG Universe'!$A$2:$R$9994,13)</f>
        <v>1.1000000000000001</v>
      </c>
      <c r="N293" s="107">
        <f>VLOOKUP($A293,'MG Universe'!$A$2:$R$9994,14)</f>
        <v>7.47</v>
      </c>
      <c r="O293" s="22">
        <f>VLOOKUP($A293,'MG Universe'!$A$2:$R$9994,15)</f>
        <v>-4.04</v>
      </c>
      <c r="P293" s="23">
        <f>VLOOKUP($A293,'MG Universe'!$A$2:$R$9994,16)</f>
        <v>9.1200000000000003E-2</v>
      </c>
      <c r="Q293" s="109">
        <f>VLOOKUP($A293,'MG Universe'!$A$2:$R$9994,17)</f>
        <v>14</v>
      </c>
      <c r="R293" s="22">
        <f>VLOOKUP($A293,'MG Universe'!$A$2:$R$9994,18)</f>
        <v>22.53</v>
      </c>
    </row>
    <row r="294" spans="1:18" x14ac:dyDescent="0.55000000000000004">
      <c r="A294" s="18" t="s">
        <v>570</v>
      </c>
      <c r="B294" s="19" t="str">
        <f>VLOOKUP($A294,'MG Universe'!$A$2:$R$9994,2)</f>
        <v>McKesson Corporation</v>
      </c>
      <c r="C294" s="19" t="str">
        <f>VLOOKUP($A294,'MG Universe'!$A$2:$R$9994,3)</f>
        <v>C-</v>
      </c>
      <c r="D294" s="19" t="str">
        <f>VLOOKUP($A294,'MG Universe'!$A$2:$R$9994,4)</f>
        <v>S</v>
      </c>
      <c r="E294" s="19" t="str">
        <f>VLOOKUP($A294,'MG Universe'!$A$2:$R$9994,5)</f>
        <v>U</v>
      </c>
      <c r="F294" s="20" t="str">
        <f>VLOOKUP($A294,'MG Universe'!$A$2:$R$9994,6)</f>
        <v>SU</v>
      </c>
      <c r="G294" s="103">
        <f>VLOOKUP($A294,'MG Universe'!$A$2:$R$9994,7)</f>
        <v>42134</v>
      </c>
      <c r="H294" s="22">
        <f>VLOOKUP($A294,'MG Universe'!$A$2:$R$9994,8)</f>
        <v>236.45</v>
      </c>
      <c r="I294" s="22">
        <f>VLOOKUP($A294,'MG Universe'!$A$2:$R$9994,9)</f>
        <v>158.59</v>
      </c>
      <c r="J294" s="23">
        <f>VLOOKUP($A294,'MG Universe'!$A$2:$R$9994,10)</f>
        <v>0.67069999999999996</v>
      </c>
      <c r="K294" s="105">
        <f>VLOOKUP($A294,'MG Universe'!$A$2:$R$9994,11)</f>
        <v>22</v>
      </c>
      <c r="L294" s="23">
        <f>VLOOKUP($A294,'MG Universe'!$A$2:$R$9994,12)</f>
        <v>7.1000000000000004E-3</v>
      </c>
      <c r="M294" s="106">
        <f>VLOOKUP($A294,'MG Universe'!$A$2:$R$9994,13)</f>
        <v>1</v>
      </c>
      <c r="N294" s="107">
        <f>VLOOKUP($A294,'MG Universe'!$A$2:$R$9994,14)</f>
        <v>1.1299999999999999</v>
      </c>
      <c r="O294" s="22">
        <f>VLOOKUP($A294,'MG Universe'!$A$2:$R$9994,15)</f>
        <v>-37.65</v>
      </c>
      <c r="P294" s="23">
        <f>VLOOKUP($A294,'MG Universe'!$A$2:$R$9994,16)</f>
        <v>6.7500000000000004E-2</v>
      </c>
      <c r="Q294" s="109">
        <f>VLOOKUP($A294,'MG Universe'!$A$2:$R$9994,17)</f>
        <v>0</v>
      </c>
      <c r="R294" s="22">
        <f>VLOOKUP($A294,'MG Universe'!$A$2:$R$9994,18)</f>
        <v>0</v>
      </c>
    </row>
    <row r="295" spans="1:18" x14ac:dyDescent="0.55000000000000004">
      <c r="A295" s="18" t="s">
        <v>189</v>
      </c>
      <c r="B295" s="19" t="str">
        <f>VLOOKUP($A295,'MG Universe'!$A$2:$R$9994,2)</f>
        <v>Moody's Corporation</v>
      </c>
      <c r="C295" s="19" t="str">
        <f>VLOOKUP($A295,'MG Universe'!$A$2:$R$9994,3)</f>
        <v>B</v>
      </c>
      <c r="D295" s="19" t="str">
        <f>VLOOKUP($A295,'MG Universe'!$A$2:$R$9994,4)</f>
        <v>D</v>
      </c>
      <c r="E295" s="19" t="str">
        <f>VLOOKUP($A295,'MG Universe'!$A$2:$R$9994,5)</f>
        <v>U</v>
      </c>
      <c r="F295" s="20" t="str">
        <f>VLOOKUP($A295,'MG Universe'!$A$2:$R$9994,6)</f>
        <v>DU</v>
      </c>
      <c r="G295" s="103">
        <f>VLOOKUP($A295,'MG Universe'!$A$2:$R$9994,7)</f>
        <v>42416</v>
      </c>
      <c r="H295" s="22">
        <f>VLOOKUP($A295,'MG Universe'!$A$2:$R$9994,8)</f>
        <v>142.01</v>
      </c>
      <c r="I295" s="22">
        <f>VLOOKUP($A295,'MG Universe'!$A$2:$R$9994,9)</f>
        <v>92.3</v>
      </c>
      <c r="J295" s="23">
        <f>VLOOKUP($A295,'MG Universe'!$A$2:$R$9994,10)</f>
        <v>0.65</v>
      </c>
      <c r="K295" s="105">
        <f>VLOOKUP($A295,'MG Universe'!$A$2:$R$9994,11)</f>
        <v>20.93</v>
      </c>
      <c r="L295" s="23">
        <f>VLOOKUP($A295,'MG Universe'!$A$2:$R$9994,12)</f>
        <v>1.6E-2</v>
      </c>
      <c r="M295" s="106">
        <f>VLOOKUP($A295,'MG Universe'!$A$2:$R$9994,13)</f>
        <v>1.3</v>
      </c>
      <c r="N295" s="107">
        <f>VLOOKUP($A295,'MG Universe'!$A$2:$R$9994,14)</f>
        <v>2.66</v>
      </c>
      <c r="O295" s="22">
        <f>VLOOKUP($A295,'MG Universe'!$A$2:$R$9994,15)</f>
        <v>-10.88</v>
      </c>
      <c r="P295" s="23">
        <f>VLOOKUP($A295,'MG Universe'!$A$2:$R$9994,16)</f>
        <v>6.2100000000000002E-2</v>
      </c>
      <c r="Q295" s="109">
        <f>VLOOKUP($A295,'MG Universe'!$A$2:$R$9994,17)</f>
        <v>7</v>
      </c>
      <c r="R295" s="22" t="str">
        <f>VLOOKUP($A295,'MG Universe'!$A$2:$R$9994,18)</f>
        <v>N/A</v>
      </c>
    </row>
    <row r="296" spans="1:18" x14ac:dyDescent="0.55000000000000004">
      <c r="A296" s="18" t="s">
        <v>784</v>
      </c>
      <c r="B296" s="19" t="str">
        <f>VLOOKUP($A296,'MG Universe'!$A$2:$R$9994,2)</f>
        <v>Mondelez International Inc</v>
      </c>
      <c r="C296" s="19" t="str">
        <f>VLOOKUP($A296,'MG Universe'!$A$2:$R$9994,3)</f>
        <v>D</v>
      </c>
      <c r="D296" s="19" t="str">
        <f>VLOOKUP($A296,'MG Universe'!$A$2:$R$9994,4)</f>
        <v>S</v>
      </c>
      <c r="E296" s="19" t="str">
        <f>VLOOKUP($A296,'MG Universe'!$A$2:$R$9994,5)</f>
        <v>O</v>
      </c>
      <c r="F296" s="20" t="str">
        <f>VLOOKUP($A296,'MG Universe'!$A$2:$R$9994,6)</f>
        <v>SO</v>
      </c>
      <c r="G296" s="103">
        <f>VLOOKUP($A296,'MG Universe'!$A$2:$R$9994,7)</f>
        <v>42179</v>
      </c>
      <c r="H296" s="22">
        <f>VLOOKUP($A296,'MG Universe'!$A$2:$R$9994,8)</f>
        <v>6.8</v>
      </c>
      <c r="I296" s="22">
        <f>VLOOKUP($A296,'MG Universe'!$A$2:$R$9994,9)</f>
        <v>41.22</v>
      </c>
      <c r="J296" s="23">
        <f>VLOOKUP($A296,'MG Universe'!$A$2:$R$9994,10)</f>
        <v>6.0617999999999999</v>
      </c>
      <c r="K296" s="105">
        <f>VLOOKUP($A296,'MG Universe'!$A$2:$R$9994,11)</f>
        <v>24.54</v>
      </c>
      <c r="L296" s="23">
        <f>VLOOKUP($A296,'MG Universe'!$A$2:$R$9994,12)</f>
        <v>1.6500000000000001E-2</v>
      </c>
      <c r="M296" s="106">
        <f>VLOOKUP($A296,'MG Universe'!$A$2:$R$9994,13)</f>
        <v>1</v>
      </c>
      <c r="N296" s="107">
        <f>VLOOKUP($A296,'MG Universe'!$A$2:$R$9994,14)</f>
        <v>0.72</v>
      </c>
      <c r="O296" s="22">
        <f>VLOOKUP($A296,'MG Universe'!$A$2:$R$9994,15)</f>
        <v>-16.690000000000001</v>
      </c>
      <c r="P296" s="23">
        <f>VLOOKUP($A296,'MG Universe'!$A$2:$R$9994,16)</f>
        <v>8.0199999999999994E-2</v>
      </c>
      <c r="Q296" s="109">
        <f>VLOOKUP($A296,'MG Universe'!$A$2:$R$9994,17)</f>
        <v>0</v>
      </c>
      <c r="R296" s="22">
        <f>VLOOKUP($A296,'MG Universe'!$A$2:$R$9994,18)</f>
        <v>0</v>
      </c>
    </row>
    <row r="297" spans="1:18" x14ac:dyDescent="0.55000000000000004">
      <c r="A297" s="18" t="s">
        <v>328</v>
      </c>
      <c r="B297" s="19" t="str">
        <f>VLOOKUP($A297,'MG Universe'!$A$2:$R$9994,2)</f>
        <v>Medtronic PLC</v>
      </c>
      <c r="C297" s="19" t="str">
        <f>VLOOKUP($A297,'MG Universe'!$A$2:$R$9994,3)</f>
        <v>B+</v>
      </c>
      <c r="D297" s="19" t="str">
        <f>VLOOKUP($A297,'MG Universe'!$A$2:$R$9994,4)</f>
        <v>D</v>
      </c>
      <c r="E297" s="19" t="str">
        <f>VLOOKUP($A297,'MG Universe'!$A$2:$R$9994,5)</f>
        <v>O</v>
      </c>
      <c r="F297" s="20" t="str">
        <f>VLOOKUP($A297,'MG Universe'!$A$2:$R$9994,6)</f>
        <v>DO</v>
      </c>
      <c r="G297" s="103">
        <f>VLOOKUP($A297,'MG Universe'!$A$2:$R$9994,7)</f>
        <v>42400</v>
      </c>
      <c r="H297" s="22">
        <f>VLOOKUP($A297,'MG Universe'!$A$2:$R$9994,8)</f>
        <v>30.68</v>
      </c>
      <c r="I297" s="22">
        <f>VLOOKUP($A297,'MG Universe'!$A$2:$R$9994,9)</f>
        <v>74.59</v>
      </c>
      <c r="J297" s="23">
        <f>VLOOKUP($A297,'MG Universe'!$A$2:$R$9994,10)</f>
        <v>2.4312</v>
      </c>
      <c r="K297" s="105">
        <f>VLOOKUP($A297,'MG Universe'!$A$2:$R$9994,11)</f>
        <v>24.86</v>
      </c>
      <c r="L297" s="23">
        <f>VLOOKUP($A297,'MG Universe'!$A$2:$R$9994,12)</f>
        <v>2.0400000000000001E-2</v>
      </c>
      <c r="M297" s="106">
        <f>VLOOKUP($A297,'MG Universe'!$A$2:$R$9994,13)</f>
        <v>1</v>
      </c>
      <c r="N297" s="107">
        <f>VLOOKUP($A297,'MG Universe'!$A$2:$R$9994,14)</f>
        <v>3.53</v>
      </c>
      <c r="O297" s="22">
        <f>VLOOKUP($A297,'MG Universe'!$A$2:$R$9994,15)</f>
        <v>-16.760000000000002</v>
      </c>
      <c r="P297" s="23">
        <f>VLOOKUP($A297,'MG Universe'!$A$2:$R$9994,16)</f>
        <v>8.1799999999999998E-2</v>
      </c>
      <c r="Q297" s="109">
        <f>VLOOKUP($A297,'MG Universe'!$A$2:$R$9994,17)</f>
        <v>20</v>
      </c>
      <c r="R297" s="22">
        <f>VLOOKUP($A297,'MG Universe'!$A$2:$R$9994,18)</f>
        <v>51.76</v>
      </c>
    </row>
    <row r="298" spans="1:18" x14ac:dyDescent="0.55000000000000004">
      <c r="A298" s="18" t="s">
        <v>114</v>
      </c>
      <c r="B298" s="19" t="str">
        <f>VLOOKUP($A298,'MG Universe'!$A$2:$R$9994,2)</f>
        <v>Metlife Inc</v>
      </c>
      <c r="C298" s="19" t="str">
        <f>VLOOKUP($A298,'MG Universe'!$A$2:$R$9994,3)</f>
        <v>A-</v>
      </c>
      <c r="D298" s="19" t="str">
        <f>VLOOKUP($A298,'MG Universe'!$A$2:$R$9994,4)</f>
        <v>E</v>
      </c>
      <c r="E298" s="19" t="str">
        <f>VLOOKUP($A298,'MG Universe'!$A$2:$R$9994,5)</f>
        <v>U</v>
      </c>
      <c r="F298" s="20" t="str">
        <f>VLOOKUP($A298,'MG Universe'!$A$2:$R$9994,6)</f>
        <v>EU</v>
      </c>
      <c r="G298" s="103">
        <f>VLOOKUP($A298,'MG Universe'!$A$2:$R$9994,7)</f>
        <v>42403</v>
      </c>
      <c r="H298" s="22">
        <f>VLOOKUP($A298,'MG Universe'!$A$2:$R$9994,8)</f>
        <v>88.82</v>
      </c>
      <c r="I298" s="22">
        <f>VLOOKUP($A298,'MG Universe'!$A$2:$R$9994,9)</f>
        <v>42.01</v>
      </c>
      <c r="J298" s="23">
        <f>VLOOKUP($A298,'MG Universe'!$A$2:$R$9994,10)</f>
        <v>0.47299999999999998</v>
      </c>
      <c r="K298" s="105">
        <f>VLOOKUP($A298,'MG Universe'!$A$2:$R$9994,11)</f>
        <v>9.86</v>
      </c>
      <c r="L298" s="23">
        <f>VLOOKUP($A298,'MG Universe'!$A$2:$R$9994,12)</f>
        <v>3.5700000000000003E-2</v>
      </c>
      <c r="M298" s="106">
        <f>VLOOKUP($A298,'MG Universe'!$A$2:$R$9994,13)</f>
        <v>1.9</v>
      </c>
      <c r="N298" s="107" t="str">
        <f>VLOOKUP($A298,'MG Universe'!$A$2:$R$9994,14)</f>
        <v>N/A</v>
      </c>
      <c r="O298" s="22" t="str">
        <f>VLOOKUP($A298,'MG Universe'!$A$2:$R$9994,15)</f>
        <v>N/A</v>
      </c>
      <c r="P298" s="23">
        <f>VLOOKUP($A298,'MG Universe'!$A$2:$R$9994,16)</f>
        <v>6.7999999999999996E-3</v>
      </c>
      <c r="Q298" s="109">
        <f>VLOOKUP($A298,'MG Universe'!$A$2:$R$9994,17)</f>
        <v>3</v>
      </c>
      <c r="R298" s="22">
        <f>VLOOKUP($A298,'MG Universe'!$A$2:$R$9994,18)</f>
        <v>85.28</v>
      </c>
    </row>
    <row r="299" spans="1:18" x14ac:dyDescent="0.55000000000000004">
      <c r="A299" s="18" t="s">
        <v>1101</v>
      </c>
      <c r="B299" s="19" t="str">
        <f>VLOOKUP($A299,'MG Universe'!$A$2:$R$9994,2)</f>
        <v>McGraw Hill Financial Inc</v>
      </c>
      <c r="C299" s="19" t="str">
        <f>VLOOKUP($A299,'MG Universe'!$A$2:$R$9994,3)</f>
        <v>F</v>
      </c>
      <c r="D299" s="19" t="str">
        <f>VLOOKUP($A299,'MG Universe'!$A$2:$R$9994,4)</f>
        <v>S</v>
      </c>
      <c r="E299" s="19" t="str">
        <f>VLOOKUP($A299,'MG Universe'!$A$2:$R$9994,5)</f>
        <v>O</v>
      </c>
      <c r="F299" s="20" t="str">
        <f>VLOOKUP($A299,'MG Universe'!$A$2:$R$9994,6)</f>
        <v>SO</v>
      </c>
      <c r="G299" s="103">
        <f>VLOOKUP($A299,'MG Universe'!$A$2:$R$9994,7)</f>
        <v>42206</v>
      </c>
      <c r="H299" s="22">
        <f>VLOOKUP($A299,'MG Universe'!$A$2:$R$9994,8)</f>
        <v>23.78</v>
      </c>
      <c r="I299" s="22">
        <f>VLOOKUP($A299,'MG Universe'!$A$2:$R$9994,9)</f>
        <v>92.52</v>
      </c>
      <c r="J299" s="23">
        <f>VLOOKUP($A299,'MG Universe'!$A$2:$R$9994,10)</f>
        <v>3.8906999999999998</v>
      </c>
      <c r="K299" s="105">
        <f>VLOOKUP($A299,'MG Universe'!$A$2:$R$9994,11)</f>
        <v>34.01</v>
      </c>
      <c r="L299" s="23">
        <f>VLOOKUP($A299,'MG Universe'!$A$2:$R$9994,12)</f>
        <v>1.5599999999999999E-2</v>
      </c>
      <c r="M299" s="106">
        <f>VLOOKUP($A299,'MG Universe'!$A$2:$R$9994,13)</f>
        <v>1.1000000000000001</v>
      </c>
      <c r="N299" s="107">
        <f>VLOOKUP($A299,'MG Universe'!$A$2:$R$9994,14)</f>
        <v>1.04</v>
      </c>
      <c r="O299" s="22">
        <f>VLOOKUP($A299,'MG Universe'!$A$2:$R$9994,15)</f>
        <v>-8.0399999999999991</v>
      </c>
      <c r="P299" s="23">
        <f>VLOOKUP($A299,'MG Universe'!$A$2:$R$9994,16)</f>
        <v>0.12759999999999999</v>
      </c>
      <c r="Q299" s="109">
        <f>VLOOKUP($A299,'MG Universe'!$A$2:$R$9994,17)</f>
        <v>0</v>
      </c>
      <c r="R299" s="22">
        <f>VLOOKUP($A299,'MG Universe'!$A$2:$R$9994,18)</f>
        <v>0</v>
      </c>
    </row>
    <row r="300" spans="1:18" x14ac:dyDescent="0.55000000000000004">
      <c r="A300" s="18" t="s">
        <v>786</v>
      </c>
      <c r="B300" s="19" t="str">
        <f>VLOOKUP($A300,'MG Universe'!$A$2:$R$9994,2)</f>
        <v>Mohawk Industries, Inc.</v>
      </c>
      <c r="C300" s="19" t="str">
        <f>VLOOKUP($A300,'MG Universe'!$A$2:$R$9994,3)</f>
        <v>D</v>
      </c>
      <c r="D300" s="19" t="str">
        <f>VLOOKUP($A300,'MG Universe'!$A$2:$R$9994,4)</f>
        <v>S</v>
      </c>
      <c r="E300" s="19" t="str">
        <f>VLOOKUP($A300,'MG Universe'!$A$2:$R$9994,5)</f>
        <v>F</v>
      </c>
      <c r="F300" s="20" t="str">
        <f>VLOOKUP($A300,'MG Universe'!$A$2:$R$9994,6)</f>
        <v>SF</v>
      </c>
      <c r="G300" s="103">
        <f>VLOOKUP($A300,'MG Universe'!$A$2:$R$9994,7)</f>
        <v>42282</v>
      </c>
      <c r="H300" s="22">
        <f>VLOOKUP($A300,'MG Universe'!$A$2:$R$9994,8)</f>
        <v>241.78</v>
      </c>
      <c r="I300" s="22">
        <f>VLOOKUP($A300,'MG Universe'!$A$2:$R$9994,9)</f>
        <v>186.08</v>
      </c>
      <c r="J300" s="23">
        <f>VLOOKUP($A300,'MG Universe'!$A$2:$R$9994,10)</f>
        <v>0.76959999999999995</v>
      </c>
      <c r="K300" s="105">
        <f>VLOOKUP($A300,'MG Universe'!$A$2:$R$9994,11)</f>
        <v>29.63</v>
      </c>
      <c r="L300" s="23" t="str">
        <f>VLOOKUP($A300,'MG Universe'!$A$2:$R$9994,12)</f>
        <v>N/A</v>
      </c>
      <c r="M300" s="106">
        <f>VLOOKUP($A300,'MG Universe'!$A$2:$R$9994,13)</f>
        <v>1.3</v>
      </c>
      <c r="N300" s="107">
        <f>VLOOKUP($A300,'MG Universe'!$A$2:$R$9994,14)</f>
        <v>1.2</v>
      </c>
      <c r="O300" s="22">
        <f>VLOOKUP($A300,'MG Universe'!$A$2:$R$9994,15)</f>
        <v>-26.42</v>
      </c>
      <c r="P300" s="23">
        <f>VLOOKUP($A300,'MG Universe'!$A$2:$R$9994,16)</f>
        <v>0.1057</v>
      </c>
      <c r="Q300" s="109">
        <f>VLOOKUP($A300,'MG Universe'!$A$2:$R$9994,17)</f>
        <v>0</v>
      </c>
      <c r="R300" s="22">
        <f>VLOOKUP($A300,'MG Universe'!$A$2:$R$9994,18)</f>
        <v>107.86</v>
      </c>
    </row>
    <row r="301" spans="1:18" x14ac:dyDescent="0.55000000000000004">
      <c r="A301" s="18" t="s">
        <v>259</v>
      </c>
      <c r="B301" s="19" t="str">
        <f>VLOOKUP($A301,'MG Universe'!$A$2:$R$9994,2)</f>
        <v>Mead Johnson Nutrition CO</v>
      </c>
      <c r="C301" s="19" t="str">
        <f>VLOOKUP($A301,'MG Universe'!$A$2:$R$9994,3)</f>
        <v>B-</v>
      </c>
      <c r="D301" s="19" t="str">
        <f>VLOOKUP($A301,'MG Universe'!$A$2:$R$9994,4)</f>
        <v>E</v>
      </c>
      <c r="E301" s="19" t="str">
        <f>VLOOKUP($A301,'MG Universe'!$A$2:$R$9994,5)</f>
        <v>F</v>
      </c>
      <c r="F301" s="20" t="str">
        <f>VLOOKUP($A301,'MG Universe'!$A$2:$R$9994,6)</f>
        <v>EF</v>
      </c>
      <c r="G301" s="103">
        <f>VLOOKUP($A301,'MG Universe'!$A$2:$R$9994,7)</f>
        <v>42327</v>
      </c>
      <c r="H301" s="22">
        <f>VLOOKUP($A301,'MG Universe'!$A$2:$R$9994,8)</f>
        <v>69.59</v>
      </c>
      <c r="I301" s="22">
        <f>VLOOKUP($A301,'MG Universe'!$A$2:$R$9994,9)</f>
        <v>73.209999999999994</v>
      </c>
      <c r="J301" s="23">
        <f>VLOOKUP($A301,'MG Universe'!$A$2:$R$9994,10)</f>
        <v>1.052</v>
      </c>
      <c r="K301" s="105">
        <f>VLOOKUP($A301,'MG Universe'!$A$2:$R$9994,11)</f>
        <v>22.46</v>
      </c>
      <c r="L301" s="23">
        <f>VLOOKUP($A301,'MG Universe'!$A$2:$R$9994,12)</f>
        <v>2.2499999999999999E-2</v>
      </c>
      <c r="M301" s="106">
        <f>VLOOKUP($A301,'MG Universe'!$A$2:$R$9994,13)</f>
        <v>1.1000000000000001</v>
      </c>
      <c r="N301" s="107">
        <f>VLOOKUP($A301,'MG Universe'!$A$2:$R$9994,14)</f>
        <v>2.04</v>
      </c>
      <c r="O301" s="22">
        <f>VLOOKUP($A301,'MG Universe'!$A$2:$R$9994,15)</f>
        <v>-4.91</v>
      </c>
      <c r="P301" s="23">
        <f>VLOOKUP($A301,'MG Universe'!$A$2:$R$9994,16)</f>
        <v>6.9800000000000001E-2</v>
      </c>
      <c r="Q301" s="109">
        <f>VLOOKUP($A301,'MG Universe'!$A$2:$R$9994,17)</f>
        <v>7</v>
      </c>
      <c r="R301" s="22">
        <f>VLOOKUP($A301,'MG Universe'!$A$2:$R$9994,18)</f>
        <v>11.3</v>
      </c>
    </row>
    <row r="302" spans="1:18" x14ac:dyDescent="0.55000000000000004">
      <c r="A302" s="18" t="s">
        <v>932</v>
      </c>
      <c r="B302" s="19" t="str">
        <f>VLOOKUP($A302,'MG Universe'!$A$2:$R$9994,2)</f>
        <v>McCormick &amp; Company, Incorporated</v>
      </c>
      <c r="C302" s="19" t="str">
        <f>VLOOKUP($A302,'MG Universe'!$A$2:$R$9994,3)</f>
        <v>D+</v>
      </c>
      <c r="D302" s="19" t="str">
        <f>VLOOKUP($A302,'MG Universe'!$A$2:$R$9994,4)</f>
        <v>S</v>
      </c>
      <c r="E302" s="19" t="str">
        <f>VLOOKUP($A302,'MG Universe'!$A$2:$R$9994,5)</f>
        <v>O</v>
      </c>
      <c r="F302" s="20" t="str">
        <f>VLOOKUP($A302,'MG Universe'!$A$2:$R$9994,6)</f>
        <v>SO</v>
      </c>
      <c r="G302" s="103">
        <f>VLOOKUP($A302,'MG Universe'!$A$2:$R$9994,7)</f>
        <v>42231</v>
      </c>
      <c r="H302" s="22">
        <f>VLOOKUP($A302,'MG Universe'!$A$2:$R$9994,8)</f>
        <v>50.89</v>
      </c>
      <c r="I302" s="22">
        <f>VLOOKUP($A302,'MG Universe'!$A$2:$R$9994,9)</f>
        <v>93.52</v>
      </c>
      <c r="J302" s="23">
        <f>VLOOKUP($A302,'MG Universe'!$A$2:$R$9994,10)</f>
        <v>1.8376999999999999</v>
      </c>
      <c r="K302" s="105">
        <f>VLOOKUP($A302,'MG Universe'!$A$2:$R$9994,11)</f>
        <v>29.88</v>
      </c>
      <c r="L302" s="23">
        <f>VLOOKUP($A302,'MG Universe'!$A$2:$R$9994,12)</f>
        <v>1.84E-2</v>
      </c>
      <c r="M302" s="106">
        <f>VLOOKUP($A302,'MG Universe'!$A$2:$R$9994,13)</f>
        <v>0.5</v>
      </c>
      <c r="N302" s="107">
        <f>VLOOKUP($A302,'MG Universe'!$A$2:$R$9994,14)</f>
        <v>1.02</v>
      </c>
      <c r="O302" s="22">
        <f>VLOOKUP($A302,'MG Universe'!$A$2:$R$9994,15)</f>
        <v>-10.11</v>
      </c>
      <c r="P302" s="23">
        <f>VLOOKUP($A302,'MG Universe'!$A$2:$R$9994,16)</f>
        <v>0.1069</v>
      </c>
      <c r="Q302" s="109">
        <f>VLOOKUP($A302,'MG Universe'!$A$2:$R$9994,17)</f>
        <v>20</v>
      </c>
      <c r="R302" s="22">
        <f>VLOOKUP($A302,'MG Universe'!$A$2:$R$9994,18)</f>
        <v>0</v>
      </c>
    </row>
    <row r="303" spans="1:18" x14ac:dyDescent="0.55000000000000004">
      <c r="A303" s="18" t="s">
        <v>572</v>
      </c>
      <c r="B303" s="19" t="str">
        <f>VLOOKUP($A303,'MG Universe'!$A$2:$R$9994,2)</f>
        <v>Martin Marietta Materials, Inc.</v>
      </c>
      <c r="C303" s="19" t="str">
        <f>VLOOKUP($A303,'MG Universe'!$A$2:$R$9994,3)</f>
        <v>C-</v>
      </c>
      <c r="D303" s="19" t="str">
        <f>VLOOKUP($A303,'MG Universe'!$A$2:$R$9994,4)</f>
        <v>E</v>
      </c>
      <c r="E303" s="19" t="str">
        <f>VLOOKUP($A303,'MG Universe'!$A$2:$R$9994,5)</f>
        <v>O</v>
      </c>
      <c r="F303" s="20" t="str">
        <f>VLOOKUP($A303,'MG Universe'!$A$2:$R$9994,6)</f>
        <v>EO</v>
      </c>
      <c r="G303" s="103">
        <f>VLOOKUP($A303,'MG Universe'!$A$2:$R$9994,7)</f>
        <v>42404</v>
      </c>
      <c r="H303" s="22">
        <f>VLOOKUP($A303,'MG Universe'!$A$2:$R$9994,8)</f>
        <v>43.68</v>
      </c>
      <c r="I303" s="22">
        <f>VLOOKUP($A303,'MG Universe'!$A$2:$R$9994,9)</f>
        <v>147.56</v>
      </c>
      <c r="J303" s="23">
        <f>VLOOKUP($A303,'MG Universe'!$A$2:$R$9994,10)</f>
        <v>3.3782000000000001</v>
      </c>
      <c r="K303" s="105">
        <f>VLOOKUP($A303,'MG Universe'!$A$2:$R$9994,11)</f>
        <v>49.19</v>
      </c>
      <c r="L303" s="23">
        <f>VLOOKUP($A303,'MG Universe'!$A$2:$R$9994,12)</f>
        <v>1.0800000000000001E-2</v>
      </c>
      <c r="M303" s="106" t="e">
        <f>VLOOKUP($A303,'MG Universe'!$A$2:$R$9994,13)</f>
        <v>#N/A</v>
      </c>
      <c r="N303" s="107">
        <f>VLOOKUP($A303,'MG Universe'!$A$2:$R$9994,14)</f>
        <v>2.85</v>
      </c>
      <c r="O303" s="22">
        <f>VLOOKUP($A303,'MG Universe'!$A$2:$R$9994,15)</f>
        <v>-23.03</v>
      </c>
      <c r="P303" s="23">
        <f>VLOOKUP($A303,'MG Universe'!$A$2:$R$9994,16)</f>
        <v>0.2034</v>
      </c>
      <c r="Q303" s="109">
        <f>VLOOKUP($A303,'MG Universe'!$A$2:$R$9994,17)</f>
        <v>0</v>
      </c>
      <c r="R303" s="22">
        <f>VLOOKUP($A303,'MG Universe'!$A$2:$R$9994,18)</f>
        <v>77.75</v>
      </c>
    </row>
    <row r="304" spans="1:18" x14ac:dyDescent="0.55000000000000004">
      <c r="A304" s="18" t="s">
        <v>261</v>
      </c>
      <c r="B304" s="19" t="str">
        <f>VLOOKUP($A304,'MG Universe'!$A$2:$R$9994,2)</f>
        <v>Marsh &amp; McLennan Companies, Inc.</v>
      </c>
      <c r="C304" s="19" t="str">
        <f>VLOOKUP($A304,'MG Universe'!$A$2:$R$9994,3)</f>
        <v>B-</v>
      </c>
      <c r="D304" s="19" t="str">
        <f>VLOOKUP($A304,'MG Universe'!$A$2:$R$9994,4)</f>
        <v>E</v>
      </c>
      <c r="E304" s="19" t="str">
        <f>VLOOKUP($A304,'MG Universe'!$A$2:$R$9994,5)</f>
        <v>U</v>
      </c>
      <c r="F304" s="20" t="str">
        <f>VLOOKUP($A304,'MG Universe'!$A$2:$R$9994,6)</f>
        <v>EU</v>
      </c>
      <c r="G304" s="103">
        <f>VLOOKUP($A304,'MG Universe'!$A$2:$R$9994,7)</f>
        <v>42400</v>
      </c>
      <c r="H304" s="22">
        <f>VLOOKUP($A304,'MG Universe'!$A$2:$R$9994,8)</f>
        <v>88.85</v>
      </c>
      <c r="I304" s="22">
        <f>VLOOKUP($A304,'MG Universe'!$A$2:$R$9994,9)</f>
        <v>57.84</v>
      </c>
      <c r="J304" s="23">
        <f>VLOOKUP($A304,'MG Universe'!$A$2:$R$9994,10)</f>
        <v>0.65100000000000002</v>
      </c>
      <c r="K304" s="105">
        <f>VLOOKUP($A304,'MG Universe'!$A$2:$R$9994,11)</f>
        <v>22.51</v>
      </c>
      <c r="L304" s="23">
        <f>VLOOKUP($A304,'MG Universe'!$A$2:$R$9994,12)</f>
        <v>2.1399999999999999E-2</v>
      </c>
      <c r="M304" s="106">
        <f>VLOOKUP($A304,'MG Universe'!$A$2:$R$9994,13)</f>
        <v>1</v>
      </c>
      <c r="N304" s="107">
        <f>VLOOKUP($A304,'MG Universe'!$A$2:$R$9994,14)</f>
        <v>1.62</v>
      </c>
      <c r="O304" s="22">
        <f>VLOOKUP($A304,'MG Universe'!$A$2:$R$9994,15)</f>
        <v>-11.16</v>
      </c>
      <c r="P304" s="23">
        <f>VLOOKUP($A304,'MG Universe'!$A$2:$R$9994,16)</f>
        <v>7.0000000000000007E-2</v>
      </c>
      <c r="Q304" s="109">
        <f>VLOOKUP($A304,'MG Universe'!$A$2:$R$9994,17)</f>
        <v>6</v>
      </c>
      <c r="R304" s="22">
        <f>VLOOKUP($A304,'MG Universe'!$A$2:$R$9994,18)</f>
        <v>28.08</v>
      </c>
    </row>
    <row r="305" spans="1:18" x14ac:dyDescent="0.55000000000000004">
      <c r="A305" s="18" t="s">
        <v>263</v>
      </c>
      <c r="B305" s="19" t="str">
        <f>VLOOKUP($A305,'MG Universe'!$A$2:$R$9994,2)</f>
        <v>3M Co</v>
      </c>
      <c r="C305" s="19" t="str">
        <f>VLOOKUP($A305,'MG Universe'!$A$2:$R$9994,3)</f>
        <v>B-</v>
      </c>
      <c r="D305" s="19" t="str">
        <f>VLOOKUP($A305,'MG Universe'!$A$2:$R$9994,4)</f>
        <v>E</v>
      </c>
      <c r="E305" s="19" t="str">
        <f>VLOOKUP($A305,'MG Universe'!$A$2:$R$9994,5)</f>
        <v>O</v>
      </c>
      <c r="F305" s="20" t="str">
        <f>VLOOKUP($A305,'MG Universe'!$A$2:$R$9994,6)</f>
        <v>EO</v>
      </c>
      <c r="G305" s="103">
        <f>VLOOKUP($A305,'MG Universe'!$A$2:$R$9994,7)</f>
        <v>42403</v>
      </c>
      <c r="H305" s="22">
        <f>VLOOKUP($A305,'MG Universe'!$A$2:$R$9994,8)</f>
        <v>132.97</v>
      </c>
      <c r="I305" s="22">
        <f>VLOOKUP($A305,'MG Universe'!$A$2:$R$9994,9)</f>
        <v>159.41</v>
      </c>
      <c r="J305" s="23">
        <f>VLOOKUP($A305,'MG Universe'!$A$2:$R$9994,10)</f>
        <v>1.1988000000000001</v>
      </c>
      <c r="K305" s="105">
        <f>VLOOKUP($A305,'MG Universe'!$A$2:$R$9994,11)</f>
        <v>21.23</v>
      </c>
      <c r="L305" s="23">
        <f>VLOOKUP($A305,'MG Universe'!$A$2:$R$9994,12)</f>
        <v>2.7900000000000001E-2</v>
      </c>
      <c r="M305" s="106">
        <f>VLOOKUP($A305,'MG Universe'!$A$2:$R$9994,13)</f>
        <v>1.1000000000000001</v>
      </c>
      <c r="N305" s="107">
        <f>VLOOKUP($A305,'MG Universe'!$A$2:$R$9994,14)</f>
        <v>1.54</v>
      </c>
      <c r="O305" s="22">
        <f>VLOOKUP($A305,'MG Universe'!$A$2:$R$9994,15)</f>
        <v>-16.22</v>
      </c>
      <c r="P305" s="23">
        <f>VLOOKUP($A305,'MG Universe'!$A$2:$R$9994,16)</f>
        <v>6.3600000000000004E-2</v>
      </c>
      <c r="Q305" s="109">
        <f>VLOOKUP($A305,'MG Universe'!$A$2:$R$9994,17)</f>
        <v>20</v>
      </c>
      <c r="R305" s="22">
        <f>VLOOKUP($A305,'MG Universe'!$A$2:$R$9994,18)</f>
        <v>58.27</v>
      </c>
    </row>
    <row r="306" spans="1:18" x14ac:dyDescent="0.55000000000000004">
      <c r="A306" s="18" t="s">
        <v>1103</v>
      </c>
      <c r="B306" s="19" t="str">
        <f>VLOOKUP($A306,'MG Universe'!$A$2:$R$9994,2)</f>
        <v>Mallinckrodt PLC</v>
      </c>
      <c r="C306" s="19" t="str">
        <f>VLOOKUP($A306,'MG Universe'!$A$2:$R$9994,3)</f>
        <v>F</v>
      </c>
      <c r="D306" s="19" t="str">
        <f>VLOOKUP($A306,'MG Universe'!$A$2:$R$9994,4)</f>
        <v>S</v>
      </c>
      <c r="E306" s="19" t="str">
        <f>VLOOKUP($A306,'MG Universe'!$A$2:$R$9994,5)</f>
        <v>O</v>
      </c>
      <c r="F306" s="20" t="str">
        <f>VLOOKUP($A306,'MG Universe'!$A$2:$R$9994,6)</f>
        <v>SO</v>
      </c>
      <c r="G306" s="103">
        <f>VLOOKUP($A306,'MG Universe'!$A$2:$R$9994,7)</f>
        <v>42207</v>
      </c>
      <c r="H306" s="22">
        <f>VLOOKUP($A306,'MG Universe'!$A$2:$R$9994,8)</f>
        <v>19.55</v>
      </c>
      <c r="I306" s="22">
        <f>VLOOKUP($A306,'MG Universe'!$A$2:$R$9994,9)</f>
        <v>66.47</v>
      </c>
      <c r="J306" s="23">
        <f>VLOOKUP($A306,'MG Universe'!$A$2:$R$9994,10)</f>
        <v>3.4</v>
      </c>
      <c r="K306" s="105">
        <f>VLOOKUP($A306,'MG Universe'!$A$2:$R$9994,11)</f>
        <v>58.82</v>
      </c>
      <c r="L306" s="23" t="str">
        <f>VLOOKUP($A306,'MG Universe'!$A$2:$R$9994,12)</f>
        <v>N/A</v>
      </c>
      <c r="M306" s="106" t="e">
        <f>VLOOKUP($A306,'MG Universe'!$A$2:$R$9994,13)</f>
        <v>#N/A</v>
      </c>
      <c r="N306" s="107">
        <f>VLOOKUP($A306,'MG Universe'!$A$2:$R$9994,14)</f>
        <v>2.86</v>
      </c>
      <c r="O306" s="22">
        <f>VLOOKUP($A306,'MG Universe'!$A$2:$R$9994,15)</f>
        <v>-46.15</v>
      </c>
      <c r="P306" s="23">
        <f>VLOOKUP($A306,'MG Universe'!$A$2:$R$9994,16)</f>
        <v>0.25159999999999999</v>
      </c>
      <c r="Q306" s="109">
        <f>VLOOKUP($A306,'MG Universe'!$A$2:$R$9994,17)</f>
        <v>0</v>
      </c>
      <c r="R306" s="22">
        <f>VLOOKUP($A306,'MG Universe'!$A$2:$R$9994,18)</f>
        <v>0</v>
      </c>
    </row>
    <row r="307" spans="1:18" x14ac:dyDescent="0.55000000000000004">
      <c r="A307" s="18" t="s">
        <v>576</v>
      </c>
      <c r="B307" s="19" t="str">
        <f>VLOOKUP($A307,'MG Universe'!$A$2:$R$9994,2)</f>
        <v>Monster Beverage Corporation</v>
      </c>
      <c r="C307" s="19" t="str">
        <f>VLOOKUP($A307,'MG Universe'!$A$2:$R$9994,3)</f>
        <v>C-</v>
      </c>
      <c r="D307" s="19" t="str">
        <f>VLOOKUP($A307,'MG Universe'!$A$2:$R$9994,4)</f>
        <v>E</v>
      </c>
      <c r="E307" s="19" t="str">
        <f>VLOOKUP($A307,'MG Universe'!$A$2:$R$9994,5)</f>
        <v>O</v>
      </c>
      <c r="F307" s="20" t="str">
        <f>VLOOKUP($A307,'MG Universe'!$A$2:$R$9994,6)</f>
        <v>EO</v>
      </c>
      <c r="G307" s="103">
        <f>VLOOKUP($A307,'MG Universe'!$A$2:$R$9994,7)</f>
        <v>42394</v>
      </c>
      <c r="H307" s="22">
        <f>VLOOKUP($A307,'MG Universe'!$A$2:$R$9994,8)</f>
        <v>94.4</v>
      </c>
      <c r="I307" s="22">
        <f>VLOOKUP($A307,'MG Universe'!$A$2:$R$9994,9)</f>
        <v>127.75</v>
      </c>
      <c r="J307" s="23">
        <f>VLOOKUP($A307,'MG Universe'!$A$2:$R$9994,10)</f>
        <v>1.3532999999999999</v>
      </c>
      <c r="K307" s="105">
        <f>VLOOKUP($A307,'MG Universe'!$A$2:$R$9994,11)</f>
        <v>52.14</v>
      </c>
      <c r="L307" s="23" t="str">
        <f>VLOOKUP($A307,'MG Universe'!$A$2:$R$9994,12)</f>
        <v>N/A</v>
      </c>
      <c r="M307" s="106">
        <f>VLOOKUP($A307,'MG Universe'!$A$2:$R$9994,13)</f>
        <v>0.5</v>
      </c>
      <c r="N307" s="107">
        <f>VLOOKUP($A307,'MG Universe'!$A$2:$R$9994,14)</f>
        <v>7.43</v>
      </c>
      <c r="O307" s="22">
        <f>VLOOKUP($A307,'MG Universe'!$A$2:$R$9994,15)</f>
        <v>13.46</v>
      </c>
      <c r="P307" s="23">
        <f>VLOOKUP($A307,'MG Universe'!$A$2:$R$9994,16)</f>
        <v>0.21820000000000001</v>
      </c>
      <c r="Q307" s="109">
        <f>VLOOKUP($A307,'MG Universe'!$A$2:$R$9994,17)</f>
        <v>0</v>
      </c>
      <c r="R307" s="22">
        <f>VLOOKUP($A307,'MG Universe'!$A$2:$R$9994,18)</f>
        <v>38.840000000000003</v>
      </c>
    </row>
    <row r="308" spans="1:18" x14ac:dyDescent="0.55000000000000004">
      <c r="A308" s="18" t="s">
        <v>934</v>
      </c>
      <c r="B308" s="19" t="str">
        <f>VLOOKUP($A308,'MG Universe'!$A$2:$R$9994,2)</f>
        <v>Altria Group Inc</v>
      </c>
      <c r="C308" s="19" t="str">
        <f>VLOOKUP($A308,'MG Universe'!$A$2:$R$9994,3)</f>
        <v>D+</v>
      </c>
      <c r="D308" s="19" t="str">
        <f>VLOOKUP($A308,'MG Universe'!$A$2:$R$9994,4)</f>
        <v>S</v>
      </c>
      <c r="E308" s="19" t="str">
        <f>VLOOKUP($A308,'MG Universe'!$A$2:$R$9994,5)</f>
        <v>O</v>
      </c>
      <c r="F308" s="20" t="str">
        <f>VLOOKUP($A308,'MG Universe'!$A$2:$R$9994,6)</f>
        <v>SO</v>
      </c>
      <c r="G308" s="103">
        <f>VLOOKUP($A308,'MG Universe'!$A$2:$R$9994,7)</f>
        <v>42025</v>
      </c>
      <c r="H308" s="22">
        <f>VLOOKUP($A308,'MG Universe'!$A$2:$R$9994,8)</f>
        <v>10.16</v>
      </c>
      <c r="I308" s="22">
        <f>VLOOKUP($A308,'MG Universe'!$A$2:$R$9994,9)</f>
        <v>61.5</v>
      </c>
      <c r="J308" s="23">
        <f>VLOOKUP($A308,'MG Universe'!$A$2:$R$9994,10)</f>
        <v>6.0530999999999997</v>
      </c>
      <c r="K308" s="105">
        <f>VLOOKUP($A308,'MG Universe'!$A$2:$R$9994,11)</f>
        <v>28.21</v>
      </c>
      <c r="L308" s="23">
        <f>VLOOKUP($A308,'MG Universe'!$A$2:$R$9994,12)</f>
        <v>3.6700000000000003E-2</v>
      </c>
      <c r="M308" s="106">
        <f>VLOOKUP($A308,'MG Universe'!$A$2:$R$9994,13)</f>
        <v>0.5</v>
      </c>
      <c r="N308" s="107">
        <f>VLOOKUP($A308,'MG Universe'!$A$2:$R$9994,14)</f>
        <v>0.77</v>
      </c>
      <c r="O308" s="22">
        <f>VLOOKUP($A308,'MG Universe'!$A$2:$R$9994,15)</f>
        <v>-12.18</v>
      </c>
      <c r="P308" s="23">
        <f>VLOOKUP($A308,'MG Universe'!$A$2:$R$9994,16)</f>
        <v>9.8599999999999993E-2</v>
      </c>
      <c r="Q308" s="109">
        <f>VLOOKUP($A308,'MG Universe'!$A$2:$R$9994,17)</f>
        <v>0</v>
      </c>
      <c r="R308" s="22">
        <f>VLOOKUP($A308,'MG Universe'!$A$2:$R$9994,18)</f>
        <v>0</v>
      </c>
    </row>
    <row r="309" spans="1:18" x14ac:dyDescent="0.55000000000000004">
      <c r="A309" s="18" t="s">
        <v>578</v>
      </c>
      <c r="B309" s="19" t="str">
        <f>VLOOKUP($A309,'MG Universe'!$A$2:$R$9994,2)</f>
        <v>Monsanto Company</v>
      </c>
      <c r="C309" s="19" t="str">
        <f>VLOOKUP($A309,'MG Universe'!$A$2:$R$9994,3)</f>
        <v>C-</v>
      </c>
      <c r="D309" s="19" t="str">
        <f>VLOOKUP($A309,'MG Universe'!$A$2:$R$9994,4)</f>
        <v>S</v>
      </c>
      <c r="E309" s="19" t="str">
        <f>VLOOKUP($A309,'MG Universe'!$A$2:$R$9994,5)</f>
        <v>U</v>
      </c>
      <c r="F309" s="20" t="str">
        <f>VLOOKUP($A309,'MG Universe'!$A$2:$R$9994,6)</f>
        <v>SU</v>
      </c>
      <c r="G309" s="103">
        <f>VLOOKUP($A309,'MG Universe'!$A$2:$R$9994,7)</f>
        <v>42394</v>
      </c>
      <c r="H309" s="22">
        <f>VLOOKUP($A309,'MG Universe'!$A$2:$R$9994,8)</f>
        <v>114.95</v>
      </c>
      <c r="I309" s="22">
        <f>VLOOKUP($A309,'MG Universe'!$A$2:$R$9994,9)</f>
        <v>85.3</v>
      </c>
      <c r="J309" s="23">
        <f>VLOOKUP($A309,'MG Universe'!$A$2:$R$9994,10)</f>
        <v>0.74209999999999998</v>
      </c>
      <c r="K309" s="105">
        <f>VLOOKUP($A309,'MG Universe'!$A$2:$R$9994,11)</f>
        <v>17.66</v>
      </c>
      <c r="L309" s="23">
        <f>VLOOKUP($A309,'MG Universe'!$A$2:$R$9994,12)</f>
        <v>2.53E-2</v>
      </c>
      <c r="M309" s="106">
        <f>VLOOKUP($A309,'MG Universe'!$A$2:$R$9994,13)</f>
        <v>1.2</v>
      </c>
      <c r="N309" s="107">
        <f>VLOOKUP($A309,'MG Universe'!$A$2:$R$9994,14)</f>
        <v>1.23</v>
      </c>
      <c r="O309" s="22">
        <f>VLOOKUP($A309,'MG Universe'!$A$2:$R$9994,15)</f>
        <v>-16.34</v>
      </c>
      <c r="P309" s="23">
        <f>VLOOKUP($A309,'MG Universe'!$A$2:$R$9994,16)</f>
        <v>4.58E-2</v>
      </c>
      <c r="Q309" s="109">
        <f>VLOOKUP($A309,'MG Universe'!$A$2:$R$9994,17)</f>
        <v>18</v>
      </c>
      <c r="R309" s="22">
        <f>VLOOKUP($A309,'MG Universe'!$A$2:$R$9994,18)</f>
        <v>29.85</v>
      </c>
    </row>
    <row r="310" spans="1:18" x14ac:dyDescent="0.55000000000000004">
      <c r="A310" s="18" t="s">
        <v>419</v>
      </c>
      <c r="B310" s="19" t="str">
        <f>VLOOKUP($A310,'MG Universe'!$A$2:$R$9994,2)</f>
        <v>Mosaic Co</v>
      </c>
      <c r="C310" s="19" t="str">
        <f>VLOOKUP($A310,'MG Universe'!$A$2:$R$9994,3)</f>
        <v>C</v>
      </c>
      <c r="D310" s="19" t="str">
        <f>VLOOKUP($A310,'MG Universe'!$A$2:$R$9994,4)</f>
        <v>S</v>
      </c>
      <c r="E310" s="19" t="str">
        <f>VLOOKUP($A310,'MG Universe'!$A$2:$R$9994,5)</f>
        <v>O</v>
      </c>
      <c r="F310" s="20" t="str">
        <f>VLOOKUP($A310,'MG Universe'!$A$2:$R$9994,6)</f>
        <v>SO</v>
      </c>
      <c r="G310" s="103">
        <f>VLOOKUP($A310,'MG Universe'!$A$2:$R$9994,7)</f>
        <v>42291</v>
      </c>
      <c r="H310" s="22">
        <f>VLOOKUP($A310,'MG Universe'!$A$2:$R$9994,8)</f>
        <v>17.25</v>
      </c>
      <c r="I310" s="22">
        <f>VLOOKUP($A310,'MG Universe'!$A$2:$R$9994,9)</f>
        <v>28.16</v>
      </c>
      <c r="J310" s="23">
        <f>VLOOKUP($A310,'MG Universe'!$A$2:$R$9994,10)</f>
        <v>1.6325000000000001</v>
      </c>
      <c r="K310" s="105">
        <f>VLOOKUP($A310,'MG Universe'!$A$2:$R$9994,11)</f>
        <v>7.82</v>
      </c>
      <c r="L310" s="23">
        <f>VLOOKUP($A310,'MG Universe'!$A$2:$R$9994,12)</f>
        <v>3.9100000000000003E-2</v>
      </c>
      <c r="M310" s="106">
        <f>VLOOKUP($A310,'MG Universe'!$A$2:$R$9994,13)</f>
        <v>1.5</v>
      </c>
      <c r="N310" s="107">
        <f>VLOOKUP($A310,'MG Universe'!$A$2:$R$9994,14)</f>
        <v>2.71</v>
      </c>
      <c r="O310" s="22">
        <f>VLOOKUP($A310,'MG Universe'!$A$2:$R$9994,15)</f>
        <v>-6.99</v>
      </c>
      <c r="P310" s="23">
        <f>VLOOKUP($A310,'MG Universe'!$A$2:$R$9994,16)</f>
        <v>-3.3999999999999998E-3</v>
      </c>
      <c r="Q310" s="109">
        <f>VLOOKUP($A310,'MG Universe'!$A$2:$R$9994,17)</f>
        <v>1</v>
      </c>
      <c r="R310" s="22">
        <f>VLOOKUP($A310,'MG Universe'!$A$2:$R$9994,18)</f>
        <v>44.59</v>
      </c>
    </row>
    <row r="311" spans="1:18" x14ac:dyDescent="0.55000000000000004">
      <c r="A311" s="18" t="s">
        <v>421</v>
      </c>
      <c r="B311" s="19" t="str">
        <f>VLOOKUP($A311,'MG Universe'!$A$2:$R$9994,2)</f>
        <v>Marathon Petroleum Corp</v>
      </c>
      <c r="C311" s="19" t="str">
        <f>VLOOKUP($A311,'MG Universe'!$A$2:$R$9994,3)</f>
        <v>C</v>
      </c>
      <c r="D311" s="19" t="str">
        <f>VLOOKUP($A311,'MG Universe'!$A$2:$R$9994,4)</f>
        <v>S</v>
      </c>
      <c r="E311" s="19" t="str">
        <f>VLOOKUP($A311,'MG Universe'!$A$2:$R$9994,5)</f>
        <v>U</v>
      </c>
      <c r="F311" s="20" t="str">
        <f>VLOOKUP($A311,'MG Universe'!$A$2:$R$9994,6)</f>
        <v>SU</v>
      </c>
      <c r="G311" s="103">
        <f>VLOOKUP($A311,'MG Universe'!$A$2:$R$9994,7)</f>
        <v>42208</v>
      </c>
      <c r="H311" s="22">
        <f>VLOOKUP($A311,'MG Universe'!$A$2:$R$9994,8)</f>
        <v>172.12</v>
      </c>
      <c r="I311" s="22">
        <f>VLOOKUP($A311,'MG Universe'!$A$2:$R$9994,9)</f>
        <v>34.71</v>
      </c>
      <c r="J311" s="23">
        <f>VLOOKUP($A311,'MG Universe'!$A$2:$R$9994,10)</f>
        <v>0.20169999999999999</v>
      </c>
      <c r="K311" s="105">
        <f>VLOOKUP($A311,'MG Universe'!$A$2:$R$9994,11)</f>
        <v>7.77</v>
      </c>
      <c r="L311" s="23">
        <f>VLOOKUP($A311,'MG Universe'!$A$2:$R$9994,12)</f>
        <v>3.6900000000000002E-2</v>
      </c>
      <c r="M311" s="106">
        <f>VLOOKUP($A311,'MG Universe'!$A$2:$R$9994,13)</f>
        <v>2.2999999999999998</v>
      </c>
      <c r="N311" s="107">
        <f>VLOOKUP($A311,'MG Universe'!$A$2:$R$9994,14)</f>
        <v>1.32</v>
      </c>
      <c r="O311" s="22">
        <f>VLOOKUP($A311,'MG Universe'!$A$2:$R$9994,15)</f>
        <v>-14.17</v>
      </c>
      <c r="P311" s="23">
        <f>VLOOKUP($A311,'MG Universe'!$A$2:$R$9994,16)</f>
        <v>-3.7000000000000002E-3</v>
      </c>
      <c r="Q311" s="109">
        <f>VLOOKUP($A311,'MG Universe'!$A$2:$R$9994,17)</f>
        <v>0</v>
      </c>
      <c r="R311" s="22">
        <f>VLOOKUP($A311,'MG Universe'!$A$2:$R$9994,18)</f>
        <v>0</v>
      </c>
    </row>
    <row r="312" spans="1:18" x14ac:dyDescent="0.55000000000000004">
      <c r="A312" s="18" t="s">
        <v>678</v>
      </c>
      <c r="B312" s="19" t="str">
        <f>VLOOKUP($A312,'MG Universe'!$A$2:$R$9994,2)</f>
        <v>Merck &amp; Co., Inc.</v>
      </c>
      <c r="C312" s="19" t="str">
        <f>VLOOKUP($A312,'MG Universe'!$A$2:$R$9994,3)</f>
        <v>C+</v>
      </c>
      <c r="D312" s="19" t="str">
        <f>VLOOKUP($A312,'MG Universe'!$A$2:$R$9994,4)</f>
        <v>E</v>
      </c>
      <c r="E312" s="19" t="str">
        <f>VLOOKUP($A312,'MG Universe'!$A$2:$R$9994,5)</f>
        <v>O</v>
      </c>
      <c r="F312" s="20" t="str">
        <f>VLOOKUP($A312,'MG Universe'!$A$2:$R$9994,6)</f>
        <v>EO</v>
      </c>
      <c r="G312" s="103">
        <f>VLOOKUP($A312,'MG Universe'!$A$2:$R$9994,7)</f>
        <v>42319</v>
      </c>
      <c r="H312" s="22">
        <f>VLOOKUP($A312,'MG Universe'!$A$2:$R$9994,8)</f>
        <v>27.04</v>
      </c>
      <c r="I312" s="22">
        <f>VLOOKUP($A312,'MG Universe'!$A$2:$R$9994,9)</f>
        <v>52.27</v>
      </c>
      <c r="J312" s="23">
        <f>VLOOKUP($A312,'MG Universe'!$A$2:$R$9994,10)</f>
        <v>1.9331</v>
      </c>
      <c r="K312" s="105">
        <f>VLOOKUP($A312,'MG Universe'!$A$2:$R$9994,11)</f>
        <v>21.08</v>
      </c>
      <c r="L312" s="23">
        <f>VLOOKUP($A312,'MG Universe'!$A$2:$R$9994,12)</f>
        <v>3.5200000000000002E-2</v>
      </c>
      <c r="M312" s="106">
        <f>VLOOKUP($A312,'MG Universe'!$A$2:$R$9994,13)</f>
        <v>0.7</v>
      </c>
      <c r="N312" s="107">
        <f>VLOOKUP($A312,'MG Universe'!$A$2:$R$9994,14)</f>
        <v>1.62</v>
      </c>
      <c r="O312" s="22">
        <f>VLOOKUP($A312,'MG Universe'!$A$2:$R$9994,15)</f>
        <v>-9.5500000000000007</v>
      </c>
      <c r="P312" s="23">
        <f>VLOOKUP($A312,'MG Universe'!$A$2:$R$9994,16)</f>
        <v>6.2899999999999998E-2</v>
      </c>
      <c r="Q312" s="109">
        <f>VLOOKUP($A312,'MG Universe'!$A$2:$R$9994,17)</f>
        <v>5</v>
      </c>
      <c r="R312" s="22">
        <f>VLOOKUP($A312,'MG Universe'!$A$2:$R$9994,18)</f>
        <v>27.58</v>
      </c>
    </row>
    <row r="313" spans="1:18" x14ac:dyDescent="0.55000000000000004">
      <c r="A313" s="18" t="s">
        <v>580</v>
      </c>
      <c r="B313" s="19" t="str">
        <f>VLOOKUP($A313,'MG Universe'!$A$2:$R$9994,2)</f>
        <v>Marathon Oil Corporation</v>
      </c>
      <c r="C313" s="19" t="str">
        <f>VLOOKUP($A313,'MG Universe'!$A$2:$R$9994,3)</f>
        <v>C-</v>
      </c>
      <c r="D313" s="19" t="str">
        <f>VLOOKUP($A313,'MG Universe'!$A$2:$R$9994,4)</f>
        <v>S</v>
      </c>
      <c r="E313" s="19" t="str">
        <f>VLOOKUP($A313,'MG Universe'!$A$2:$R$9994,5)</f>
        <v>F</v>
      </c>
      <c r="F313" s="20" t="str">
        <f>VLOOKUP($A313,'MG Universe'!$A$2:$R$9994,6)</f>
        <v>SF</v>
      </c>
      <c r="G313" s="103">
        <f>VLOOKUP($A313,'MG Universe'!$A$2:$R$9994,7)</f>
        <v>42084</v>
      </c>
      <c r="H313" s="22">
        <f>VLOOKUP($A313,'MG Universe'!$A$2:$R$9994,8)</f>
        <v>10.69</v>
      </c>
      <c r="I313" s="22">
        <f>VLOOKUP($A313,'MG Universe'!$A$2:$R$9994,9)</f>
        <v>9.1199999999999992</v>
      </c>
      <c r="J313" s="23">
        <f>VLOOKUP($A313,'MG Universe'!$A$2:$R$9994,10)</f>
        <v>0.85309999999999997</v>
      </c>
      <c r="K313" s="105">
        <f>VLOOKUP($A313,'MG Universe'!$A$2:$R$9994,11)</f>
        <v>2.7</v>
      </c>
      <c r="L313" s="23">
        <f>VLOOKUP($A313,'MG Universe'!$A$2:$R$9994,12)</f>
        <v>2.1899999999999999E-2</v>
      </c>
      <c r="M313" s="106">
        <f>VLOOKUP($A313,'MG Universe'!$A$2:$R$9994,13)</f>
        <v>2.1</v>
      </c>
      <c r="N313" s="107">
        <f>VLOOKUP($A313,'MG Universe'!$A$2:$R$9994,14)</f>
        <v>1.05</v>
      </c>
      <c r="O313" s="22">
        <f>VLOOKUP($A313,'MG Universe'!$A$2:$R$9994,15)</f>
        <v>-15.29</v>
      </c>
      <c r="P313" s="23">
        <f>VLOOKUP($A313,'MG Universe'!$A$2:$R$9994,16)</f>
        <v>-2.9000000000000001E-2</v>
      </c>
      <c r="Q313" s="109">
        <f>VLOOKUP($A313,'MG Universe'!$A$2:$R$9994,17)</f>
        <v>0</v>
      </c>
      <c r="R313" s="22">
        <f>VLOOKUP($A313,'MG Universe'!$A$2:$R$9994,18)</f>
        <v>0</v>
      </c>
    </row>
    <row r="314" spans="1:18" x14ac:dyDescent="0.55000000000000004">
      <c r="A314" s="18" t="s">
        <v>936</v>
      </c>
      <c r="B314" s="19" t="str">
        <f>VLOOKUP($A314,'MG Universe'!$A$2:$R$9994,2)</f>
        <v>Morgan Stanley</v>
      </c>
      <c r="C314" s="19" t="str">
        <f>VLOOKUP($A314,'MG Universe'!$A$2:$R$9994,3)</f>
        <v>D+</v>
      </c>
      <c r="D314" s="19" t="str">
        <f>VLOOKUP($A314,'MG Universe'!$A$2:$R$9994,4)</f>
        <v>S</v>
      </c>
      <c r="E314" s="19" t="str">
        <f>VLOOKUP($A314,'MG Universe'!$A$2:$R$9994,5)</f>
        <v>O</v>
      </c>
      <c r="F314" s="20" t="str">
        <f>VLOOKUP($A314,'MG Universe'!$A$2:$R$9994,6)</f>
        <v>SO</v>
      </c>
      <c r="G314" s="103">
        <f>VLOOKUP($A314,'MG Universe'!$A$2:$R$9994,7)</f>
        <v>42037</v>
      </c>
      <c r="H314" s="22">
        <f>VLOOKUP($A314,'MG Universe'!$A$2:$R$9994,8)</f>
        <v>10.58</v>
      </c>
      <c r="I314" s="22">
        <f>VLOOKUP($A314,'MG Universe'!$A$2:$R$9994,9)</f>
        <v>26.1</v>
      </c>
      <c r="J314" s="23">
        <f>VLOOKUP($A314,'MG Universe'!$A$2:$R$9994,10)</f>
        <v>2.4668999999999999</v>
      </c>
      <c r="K314" s="105">
        <f>VLOOKUP($A314,'MG Universe'!$A$2:$R$9994,11)</f>
        <v>15.44</v>
      </c>
      <c r="L314" s="23">
        <f>VLOOKUP($A314,'MG Universe'!$A$2:$R$9994,12)</f>
        <v>2.3E-2</v>
      </c>
      <c r="M314" s="106">
        <f>VLOOKUP($A314,'MG Universe'!$A$2:$R$9994,13)</f>
        <v>2.2999999999999998</v>
      </c>
      <c r="N314" s="107" t="str">
        <f>VLOOKUP($A314,'MG Universe'!$A$2:$R$9994,14)</f>
        <v>N/A</v>
      </c>
      <c r="O314" s="22" t="str">
        <f>VLOOKUP($A314,'MG Universe'!$A$2:$R$9994,15)</f>
        <v>N/A</v>
      </c>
      <c r="P314" s="23">
        <f>VLOOKUP($A314,'MG Universe'!$A$2:$R$9994,16)</f>
        <v>3.4700000000000002E-2</v>
      </c>
      <c r="Q314" s="109">
        <f>VLOOKUP($A314,'MG Universe'!$A$2:$R$9994,17)</f>
        <v>0</v>
      </c>
      <c r="R314" s="22">
        <f>VLOOKUP($A314,'MG Universe'!$A$2:$R$9994,18)</f>
        <v>0</v>
      </c>
    </row>
    <row r="315" spans="1:18" x14ac:dyDescent="0.55000000000000004">
      <c r="A315" s="18" t="s">
        <v>680</v>
      </c>
      <c r="B315" s="19" t="str">
        <f>VLOOKUP($A315,'MG Universe'!$A$2:$R$9994,2)</f>
        <v>Microsoft Corporation</v>
      </c>
      <c r="C315" s="19" t="str">
        <f>VLOOKUP($A315,'MG Universe'!$A$2:$R$9994,3)</f>
        <v>C+</v>
      </c>
      <c r="D315" s="19" t="str">
        <f>VLOOKUP($A315,'MG Universe'!$A$2:$R$9994,4)</f>
        <v>E</v>
      </c>
      <c r="E315" s="19" t="str">
        <f>VLOOKUP($A315,'MG Universe'!$A$2:$R$9994,5)</f>
        <v>O</v>
      </c>
      <c r="F315" s="20" t="str">
        <f>VLOOKUP($A315,'MG Universe'!$A$2:$R$9994,6)</f>
        <v>EO</v>
      </c>
      <c r="G315" s="103">
        <f>VLOOKUP($A315,'MG Universe'!$A$2:$R$9994,7)</f>
        <v>42409</v>
      </c>
      <c r="H315" s="22">
        <f>VLOOKUP($A315,'MG Universe'!$A$2:$R$9994,8)</f>
        <v>19.79</v>
      </c>
      <c r="I315" s="22">
        <f>VLOOKUP($A315,'MG Universe'!$A$2:$R$9994,9)</f>
        <v>52.95</v>
      </c>
      <c r="J315" s="23">
        <f>VLOOKUP($A315,'MG Universe'!$A$2:$R$9994,10)</f>
        <v>2.6756000000000002</v>
      </c>
      <c r="K315" s="105">
        <f>VLOOKUP($A315,'MG Universe'!$A$2:$R$9994,11)</f>
        <v>24.29</v>
      </c>
      <c r="L315" s="23">
        <f>VLOOKUP($A315,'MG Universe'!$A$2:$R$9994,12)</f>
        <v>2.7199999999999998E-2</v>
      </c>
      <c r="M315" s="106">
        <f>VLOOKUP($A315,'MG Universe'!$A$2:$R$9994,13)</f>
        <v>1</v>
      </c>
      <c r="N315" s="107">
        <f>VLOOKUP($A315,'MG Universe'!$A$2:$R$9994,14)</f>
        <v>3</v>
      </c>
      <c r="O315" s="22">
        <f>VLOOKUP($A315,'MG Universe'!$A$2:$R$9994,15)</f>
        <v>3.05</v>
      </c>
      <c r="P315" s="23">
        <f>VLOOKUP($A315,'MG Universe'!$A$2:$R$9994,16)</f>
        <v>7.8899999999999998E-2</v>
      </c>
      <c r="Q315" s="109">
        <f>VLOOKUP($A315,'MG Universe'!$A$2:$R$9994,17)</f>
        <v>14</v>
      </c>
      <c r="R315" s="22">
        <f>VLOOKUP($A315,'MG Universe'!$A$2:$R$9994,18)</f>
        <v>22.68</v>
      </c>
    </row>
    <row r="316" spans="1:18" x14ac:dyDescent="0.55000000000000004">
      <c r="A316" s="18" t="s">
        <v>191</v>
      </c>
      <c r="B316" s="19" t="str">
        <f>VLOOKUP($A316,'MG Universe'!$A$2:$R$9994,2)</f>
        <v>Motorola Solutions Inc</v>
      </c>
      <c r="C316" s="19" t="str">
        <f>VLOOKUP($A316,'MG Universe'!$A$2:$R$9994,3)</f>
        <v>B</v>
      </c>
      <c r="D316" s="19" t="str">
        <f>VLOOKUP($A316,'MG Universe'!$A$2:$R$9994,4)</f>
        <v>E</v>
      </c>
      <c r="E316" s="19" t="str">
        <f>VLOOKUP($A316,'MG Universe'!$A$2:$R$9994,5)</f>
        <v>U</v>
      </c>
      <c r="F316" s="20" t="str">
        <f>VLOOKUP($A316,'MG Universe'!$A$2:$R$9994,6)</f>
        <v>EU</v>
      </c>
      <c r="G316" s="103">
        <f>VLOOKUP($A316,'MG Universe'!$A$2:$R$9994,7)</f>
        <v>42404</v>
      </c>
      <c r="H316" s="22">
        <f>VLOOKUP($A316,'MG Universe'!$A$2:$R$9994,8)</f>
        <v>142.5</v>
      </c>
      <c r="I316" s="22">
        <f>VLOOKUP($A316,'MG Universe'!$A$2:$R$9994,9)</f>
        <v>71.28</v>
      </c>
      <c r="J316" s="23">
        <f>VLOOKUP($A316,'MG Universe'!$A$2:$R$9994,10)</f>
        <v>0.50019999999999998</v>
      </c>
      <c r="K316" s="105">
        <f>VLOOKUP($A316,'MG Universe'!$A$2:$R$9994,11)</f>
        <v>19.260000000000002</v>
      </c>
      <c r="L316" s="23">
        <f>VLOOKUP($A316,'MG Universe'!$A$2:$R$9994,12)</f>
        <v>2.3E-2</v>
      </c>
      <c r="M316" s="106">
        <f>VLOOKUP($A316,'MG Universe'!$A$2:$R$9994,13)</f>
        <v>0.5</v>
      </c>
      <c r="N316" s="107">
        <f>VLOOKUP($A316,'MG Universe'!$A$2:$R$9994,14)</f>
        <v>2.36</v>
      </c>
      <c r="O316" s="22">
        <f>VLOOKUP($A316,'MG Universe'!$A$2:$R$9994,15)</f>
        <v>-17.91</v>
      </c>
      <c r="P316" s="23">
        <f>VLOOKUP($A316,'MG Universe'!$A$2:$R$9994,16)</f>
        <v>5.3800000000000001E-2</v>
      </c>
      <c r="Q316" s="109">
        <f>VLOOKUP($A316,'MG Universe'!$A$2:$R$9994,17)</f>
        <v>5</v>
      </c>
      <c r="R316" s="22" t="str">
        <f>VLOOKUP($A316,'MG Universe'!$A$2:$R$9994,18)</f>
        <v>N/A</v>
      </c>
    </row>
    <row r="317" spans="1:18" x14ac:dyDescent="0.55000000000000004">
      <c r="A317" s="18" t="s">
        <v>330</v>
      </c>
      <c r="B317" s="19" t="str">
        <f>VLOOKUP($A317,'MG Universe'!$A$2:$R$9994,2)</f>
        <v>M&amp;T Bank Corporation</v>
      </c>
      <c r="C317" s="19" t="str">
        <f>VLOOKUP($A317,'MG Universe'!$A$2:$R$9994,3)</f>
        <v>B+</v>
      </c>
      <c r="D317" s="19" t="str">
        <f>VLOOKUP($A317,'MG Universe'!$A$2:$R$9994,4)</f>
        <v>E</v>
      </c>
      <c r="E317" s="19" t="str">
        <f>VLOOKUP($A317,'MG Universe'!$A$2:$R$9994,5)</f>
        <v>U</v>
      </c>
      <c r="F317" s="20" t="str">
        <f>VLOOKUP($A317,'MG Universe'!$A$2:$R$9994,6)</f>
        <v>EU</v>
      </c>
      <c r="G317" s="103">
        <f>VLOOKUP($A317,'MG Universe'!$A$2:$R$9994,7)</f>
        <v>42348</v>
      </c>
      <c r="H317" s="22">
        <f>VLOOKUP($A317,'MG Universe'!$A$2:$R$9994,8)</f>
        <v>160.09</v>
      </c>
      <c r="I317" s="22">
        <f>VLOOKUP($A317,'MG Universe'!$A$2:$R$9994,9)</f>
        <v>108.88</v>
      </c>
      <c r="J317" s="23">
        <f>VLOOKUP($A317,'MG Universe'!$A$2:$R$9994,10)</f>
        <v>0.68010000000000004</v>
      </c>
      <c r="K317" s="105">
        <f>VLOOKUP($A317,'MG Universe'!$A$2:$R$9994,11)</f>
        <v>14.48</v>
      </c>
      <c r="L317" s="23">
        <f>VLOOKUP($A317,'MG Universe'!$A$2:$R$9994,12)</f>
        <v>2.5700000000000001E-2</v>
      </c>
      <c r="M317" s="106">
        <f>VLOOKUP($A317,'MG Universe'!$A$2:$R$9994,13)</f>
        <v>0.8</v>
      </c>
      <c r="N317" s="107" t="str">
        <f>VLOOKUP($A317,'MG Universe'!$A$2:$R$9994,14)</f>
        <v>N/A</v>
      </c>
      <c r="O317" s="22" t="str">
        <f>VLOOKUP($A317,'MG Universe'!$A$2:$R$9994,15)</f>
        <v>N/A</v>
      </c>
      <c r="P317" s="23">
        <f>VLOOKUP($A317,'MG Universe'!$A$2:$R$9994,16)</f>
        <v>2.9899999999999999E-2</v>
      </c>
      <c r="Q317" s="109">
        <f>VLOOKUP($A317,'MG Universe'!$A$2:$R$9994,17)</f>
        <v>0</v>
      </c>
      <c r="R317" s="22">
        <f>VLOOKUP($A317,'MG Universe'!$A$2:$R$9994,18)</f>
        <v>121.1</v>
      </c>
    </row>
    <row r="318" spans="1:18" x14ac:dyDescent="0.55000000000000004">
      <c r="A318" s="18" t="s">
        <v>684</v>
      </c>
      <c r="B318" s="19" t="str">
        <f>VLOOKUP($A318,'MG Universe'!$A$2:$R$9994,2)</f>
        <v>Micron Technology, Inc.</v>
      </c>
      <c r="C318" s="19" t="str">
        <f>VLOOKUP($A318,'MG Universe'!$A$2:$R$9994,3)</f>
        <v>C+</v>
      </c>
      <c r="D318" s="19" t="str">
        <f>VLOOKUP($A318,'MG Universe'!$A$2:$R$9994,4)</f>
        <v>S</v>
      </c>
      <c r="E318" s="19" t="str">
        <f>VLOOKUP($A318,'MG Universe'!$A$2:$R$9994,5)</f>
        <v>U</v>
      </c>
      <c r="F318" s="20" t="str">
        <f>VLOOKUP($A318,'MG Universe'!$A$2:$R$9994,6)</f>
        <v>SU</v>
      </c>
      <c r="G318" s="103">
        <f>VLOOKUP($A318,'MG Universe'!$A$2:$R$9994,7)</f>
        <v>42318</v>
      </c>
      <c r="H318" s="22">
        <f>VLOOKUP($A318,'MG Universe'!$A$2:$R$9994,8)</f>
        <v>56.39</v>
      </c>
      <c r="I318" s="22">
        <f>VLOOKUP($A318,'MG Universe'!$A$2:$R$9994,9)</f>
        <v>11.68</v>
      </c>
      <c r="J318" s="23">
        <f>VLOOKUP($A318,'MG Universe'!$A$2:$R$9994,10)</f>
        <v>0.20710000000000001</v>
      </c>
      <c r="K318" s="105">
        <f>VLOOKUP($A318,'MG Universe'!$A$2:$R$9994,11)</f>
        <v>8</v>
      </c>
      <c r="L318" s="23" t="str">
        <f>VLOOKUP($A318,'MG Universe'!$A$2:$R$9994,12)</f>
        <v>N/A</v>
      </c>
      <c r="M318" s="106">
        <f>VLOOKUP($A318,'MG Universe'!$A$2:$R$9994,13)</f>
        <v>2.1</v>
      </c>
      <c r="N318" s="107">
        <f>VLOOKUP($A318,'MG Universe'!$A$2:$R$9994,14)</f>
        <v>2.2000000000000002</v>
      </c>
      <c r="O318" s="22">
        <f>VLOOKUP($A318,'MG Universe'!$A$2:$R$9994,15)</f>
        <v>-2.89</v>
      </c>
      <c r="P318" s="23">
        <f>VLOOKUP($A318,'MG Universe'!$A$2:$R$9994,16)</f>
        <v>-2.5000000000000001E-3</v>
      </c>
      <c r="Q318" s="109">
        <f>VLOOKUP($A318,'MG Universe'!$A$2:$R$9994,17)</f>
        <v>0</v>
      </c>
      <c r="R318" s="22">
        <f>VLOOKUP($A318,'MG Universe'!$A$2:$R$9994,18)</f>
        <v>12.88</v>
      </c>
    </row>
    <row r="319" spans="1:18" x14ac:dyDescent="0.55000000000000004">
      <c r="A319" s="18" t="s">
        <v>788</v>
      </c>
      <c r="B319" s="19" t="str">
        <f>VLOOKUP($A319,'MG Universe'!$A$2:$R$9994,2)</f>
        <v>Murphy Oil Corporation</v>
      </c>
      <c r="C319" s="19" t="str">
        <f>VLOOKUP($A319,'MG Universe'!$A$2:$R$9994,3)</f>
        <v>D</v>
      </c>
      <c r="D319" s="19" t="str">
        <f>VLOOKUP($A319,'MG Universe'!$A$2:$R$9994,4)</f>
        <v>S</v>
      </c>
      <c r="E319" s="19" t="str">
        <f>VLOOKUP($A319,'MG Universe'!$A$2:$R$9994,5)</f>
        <v>O</v>
      </c>
      <c r="F319" s="20" t="str">
        <f>VLOOKUP($A319,'MG Universe'!$A$2:$R$9994,6)</f>
        <v>SO</v>
      </c>
      <c r="G319" s="103">
        <f>VLOOKUP($A319,'MG Universe'!$A$2:$R$9994,7)</f>
        <v>42326</v>
      </c>
      <c r="H319" s="22">
        <f>VLOOKUP($A319,'MG Universe'!$A$2:$R$9994,8)</f>
        <v>0</v>
      </c>
      <c r="I319" s="22">
        <f>VLOOKUP($A319,'MG Universe'!$A$2:$R$9994,9)</f>
        <v>19.29</v>
      </c>
      <c r="J319" s="23" t="str">
        <f>VLOOKUP($A319,'MG Universe'!$A$2:$R$9994,10)</f>
        <v>N/A</v>
      </c>
      <c r="K319" s="105" t="str">
        <f>VLOOKUP($A319,'MG Universe'!$A$2:$R$9994,11)</f>
        <v>N/A</v>
      </c>
      <c r="L319" s="23">
        <f>VLOOKUP($A319,'MG Universe'!$A$2:$R$9994,12)</f>
        <v>7.2599999999999998E-2</v>
      </c>
      <c r="M319" s="106">
        <f>VLOOKUP($A319,'MG Universe'!$A$2:$R$9994,13)</f>
        <v>1.9</v>
      </c>
      <c r="N319" s="107">
        <f>VLOOKUP($A319,'MG Universe'!$A$2:$R$9994,14)</f>
        <v>1.31</v>
      </c>
      <c r="O319" s="22">
        <f>VLOOKUP($A319,'MG Universe'!$A$2:$R$9994,15)</f>
        <v>-25.75</v>
      </c>
      <c r="P319" s="23">
        <f>VLOOKUP($A319,'MG Universe'!$A$2:$R$9994,16)</f>
        <v>-0.44440000000000002</v>
      </c>
      <c r="Q319" s="109">
        <f>VLOOKUP($A319,'MG Universe'!$A$2:$R$9994,17)</f>
        <v>17</v>
      </c>
      <c r="R319" s="22" t="str">
        <f>VLOOKUP($A319,'MG Universe'!$A$2:$R$9994,18)</f>
        <v>N/A</v>
      </c>
    </row>
    <row r="320" spans="1:18" x14ac:dyDescent="0.55000000000000004">
      <c r="A320" s="18" t="s">
        <v>1161</v>
      </c>
      <c r="B320" s="19" t="str">
        <f>VLOOKUP($A320,'MG Universe'!$A$2:$R$9994,2)</f>
        <v>Murphy Oil Corporation</v>
      </c>
      <c r="C320" s="19" t="str">
        <f>VLOOKUP($A320,'MG Universe'!$A$2:$R$9994,3)</f>
        <v>D</v>
      </c>
      <c r="D320" s="19" t="str">
        <f>VLOOKUP($A320,'MG Universe'!$A$2:$R$9994,4)</f>
        <v>S</v>
      </c>
      <c r="E320" s="19" t="str">
        <f>VLOOKUP($A320,'MG Universe'!$A$2:$R$9994,5)</f>
        <v>O</v>
      </c>
      <c r="F320" s="20" t="str">
        <f>VLOOKUP($A320,'MG Universe'!$A$2:$R$9994,6)</f>
        <v>SO</v>
      </c>
      <c r="G320" s="103">
        <f>VLOOKUP($A320,'MG Universe'!$A$2:$R$9994,7)</f>
        <v>42326</v>
      </c>
      <c r="H320" s="22">
        <f>VLOOKUP($A320,'MG Universe'!$A$2:$R$9994,8)</f>
        <v>0</v>
      </c>
      <c r="I320" s="22">
        <f>VLOOKUP($A320,'MG Universe'!$A$2:$R$9994,9)</f>
        <v>19.29</v>
      </c>
      <c r="J320" s="23" t="str">
        <f>VLOOKUP($A320,'MG Universe'!$A$2:$R$9994,10)</f>
        <v>N/A</v>
      </c>
      <c r="K320" s="105" t="str">
        <f>VLOOKUP($A320,'MG Universe'!$A$2:$R$9994,11)</f>
        <v>N/A</v>
      </c>
      <c r="L320" s="23">
        <f>VLOOKUP($A320,'MG Universe'!$A$2:$R$9994,12)</f>
        <v>7.2599999999999998E-2</v>
      </c>
      <c r="M320" s="106">
        <f>VLOOKUP($A320,'MG Universe'!$A$2:$R$9994,13)</f>
        <v>1.9</v>
      </c>
      <c r="N320" s="107">
        <f>VLOOKUP($A320,'MG Universe'!$A$2:$R$9994,14)</f>
        <v>1.31</v>
      </c>
      <c r="O320" s="22">
        <f>VLOOKUP($A320,'MG Universe'!$A$2:$R$9994,15)</f>
        <v>-25.75</v>
      </c>
      <c r="P320" s="23">
        <f>VLOOKUP($A320,'MG Universe'!$A$2:$R$9994,16)</f>
        <v>-0.44440000000000002</v>
      </c>
      <c r="Q320" s="109">
        <f>VLOOKUP($A320,'MG Universe'!$A$2:$R$9994,17)</f>
        <v>17</v>
      </c>
      <c r="R320" s="22" t="str">
        <f>VLOOKUP($A320,'MG Universe'!$A$2:$R$9994,18)</f>
        <v>N/A</v>
      </c>
    </row>
    <row r="321" spans="1:18" x14ac:dyDescent="0.55000000000000004">
      <c r="A321" s="18" t="s">
        <v>582</v>
      </c>
      <c r="B321" s="19" t="str">
        <f>VLOOKUP($A321,'MG Universe'!$A$2:$R$9994,2)</f>
        <v>Mylan NV</v>
      </c>
      <c r="C321" s="19" t="str">
        <f>VLOOKUP($A321,'MG Universe'!$A$2:$R$9994,3)</f>
        <v>C-</v>
      </c>
      <c r="D321" s="19" t="str">
        <f>VLOOKUP($A321,'MG Universe'!$A$2:$R$9994,4)</f>
        <v>S</v>
      </c>
      <c r="E321" s="19" t="str">
        <f>VLOOKUP($A321,'MG Universe'!$A$2:$R$9994,5)</f>
        <v>U</v>
      </c>
      <c r="F321" s="20" t="str">
        <f>VLOOKUP($A321,'MG Universe'!$A$2:$R$9994,6)</f>
        <v>SU</v>
      </c>
      <c r="G321" s="103">
        <f>VLOOKUP($A321,'MG Universe'!$A$2:$R$9994,7)</f>
        <v>42375</v>
      </c>
      <c r="H321" s="22">
        <f>VLOOKUP($A321,'MG Universe'!$A$2:$R$9994,8)</f>
        <v>78.95</v>
      </c>
      <c r="I321" s="22">
        <f>VLOOKUP($A321,'MG Universe'!$A$2:$R$9994,9)</f>
        <v>46.12</v>
      </c>
      <c r="J321" s="23">
        <f>VLOOKUP($A321,'MG Universe'!$A$2:$R$9994,10)</f>
        <v>0.58420000000000005</v>
      </c>
      <c r="K321" s="105">
        <f>VLOOKUP($A321,'MG Universe'!$A$2:$R$9994,11)</f>
        <v>22.5</v>
      </c>
      <c r="L321" s="23" t="str">
        <f>VLOOKUP($A321,'MG Universe'!$A$2:$R$9994,12)</f>
        <v>N/A</v>
      </c>
      <c r="M321" s="106">
        <f>VLOOKUP($A321,'MG Universe'!$A$2:$R$9994,13)</f>
        <v>1.3</v>
      </c>
      <c r="N321" s="107">
        <f>VLOOKUP($A321,'MG Universe'!$A$2:$R$9994,14)</f>
        <v>1.76</v>
      </c>
      <c r="O321" s="22">
        <f>VLOOKUP($A321,'MG Universe'!$A$2:$R$9994,15)</f>
        <v>-9.76</v>
      </c>
      <c r="P321" s="23">
        <f>VLOOKUP($A321,'MG Universe'!$A$2:$R$9994,16)</f>
        <v>7.0000000000000007E-2</v>
      </c>
      <c r="Q321" s="109">
        <f>VLOOKUP($A321,'MG Universe'!$A$2:$R$9994,17)</f>
        <v>0</v>
      </c>
      <c r="R321" s="22">
        <f>VLOOKUP($A321,'MG Universe'!$A$2:$R$9994,18)</f>
        <v>33.369999999999997</v>
      </c>
    </row>
    <row r="322" spans="1:18" x14ac:dyDescent="0.55000000000000004">
      <c r="A322" s="18" t="s">
        <v>423</v>
      </c>
      <c r="B322" s="19" t="str">
        <f>VLOOKUP($A322,'MG Universe'!$A$2:$R$9994,2)</f>
        <v>Navient Corp</v>
      </c>
      <c r="C322" s="19" t="str">
        <f>VLOOKUP($A322,'MG Universe'!$A$2:$R$9994,3)</f>
        <v>C</v>
      </c>
      <c r="D322" s="19" t="str">
        <f>VLOOKUP($A322,'MG Universe'!$A$2:$R$9994,4)</f>
        <v>S</v>
      </c>
      <c r="E322" s="19" t="str">
        <f>VLOOKUP($A322,'MG Universe'!$A$2:$R$9994,5)</f>
        <v>U</v>
      </c>
      <c r="F322" s="20" t="str">
        <f>VLOOKUP($A322,'MG Universe'!$A$2:$R$9994,6)</f>
        <v>SU</v>
      </c>
      <c r="G322" s="103">
        <f>VLOOKUP($A322,'MG Universe'!$A$2:$R$9994,7)</f>
        <v>42214</v>
      </c>
      <c r="H322" s="22">
        <f>VLOOKUP($A322,'MG Universe'!$A$2:$R$9994,8)</f>
        <v>85.14</v>
      </c>
      <c r="I322" s="22">
        <f>VLOOKUP($A322,'MG Universe'!$A$2:$R$9994,9)</f>
        <v>10.89</v>
      </c>
      <c r="J322" s="23">
        <f>VLOOKUP($A322,'MG Universe'!$A$2:$R$9994,10)</f>
        <v>0.12790000000000001</v>
      </c>
      <c r="K322" s="105">
        <f>VLOOKUP($A322,'MG Universe'!$A$2:$R$9994,11)</f>
        <v>4.93</v>
      </c>
      <c r="L322" s="23">
        <f>VLOOKUP($A322,'MG Universe'!$A$2:$R$9994,12)</f>
        <v>5.8799999999999998E-2</v>
      </c>
      <c r="M322" s="106" t="e">
        <f>VLOOKUP($A322,'MG Universe'!$A$2:$R$9994,13)</f>
        <v>#N/A</v>
      </c>
      <c r="N322" s="107" t="str">
        <f>VLOOKUP($A322,'MG Universe'!$A$2:$R$9994,14)</f>
        <v>N/A</v>
      </c>
      <c r="O322" s="22" t="str">
        <f>VLOOKUP($A322,'MG Universe'!$A$2:$R$9994,15)</f>
        <v>N/A</v>
      </c>
      <c r="P322" s="23">
        <f>VLOOKUP($A322,'MG Universe'!$A$2:$R$9994,16)</f>
        <v>-1.7899999999999999E-2</v>
      </c>
      <c r="Q322" s="109">
        <f>VLOOKUP($A322,'MG Universe'!$A$2:$R$9994,17)</f>
        <v>0</v>
      </c>
      <c r="R322" s="22">
        <f>VLOOKUP($A322,'MG Universe'!$A$2:$R$9994,18)</f>
        <v>0</v>
      </c>
    </row>
    <row r="323" spans="1:18" x14ac:dyDescent="0.55000000000000004">
      <c r="A323" s="18" t="s">
        <v>938</v>
      </c>
      <c r="B323" s="19" t="str">
        <f>VLOOKUP($A323,'MG Universe'!$A$2:$R$9994,2)</f>
        <v>Noble Energy, Inc.</v>
      </c>
      <c r="C323" s="19" t="str">
        <f>VLOOKUP($A323,'MG Universe'!$A$2:$R$9994,3)</f>
        <v>D+</v>
      </c>
      <c r="D323" s="19" t="str">
        <f>VLOOKUP($A323,'MG Universe'!$A$2:$R$9994,4)</f>
        <v>S</v>
      </c>
      <c r="E323" s="19" t="str">
        <f>VLOOKUP($A323,'MG Universe'!$A$2:$R$9994,5)</f>
        <v>F</v>
      </c>
      <c r="F323" s="20" t="str">
        <f>VLOOKUP($A323,'MG Universe'!$A$2:$R$9994,6)</f>
        <v>SF</v>
      </c>
      <c r="G323" s="103">
        <f>VLOOKUP($A323,'MG Universe'!$A$2:$R$9994,7)</f>
        <v>42049</v>
      </c>
      <c r="H323" s="22">
        <f>VLOOKUP($A323,'MG Universe'!$A$2:$R$9994,8)</f>
        <v>38.07</v>
      </c>
      <c r="I323" s="22">
        <f>VLOOKUP($A323,'MG Universe'!$A$2:$R$9994,9)</f>
        <v>31.05</v>
      </c>
      <c r="J323" s="23">
        <f>VLOOKUP($A323,'MG Universe'!$A$2:$R$9994,10)</f>
        <v>0.81559999999999999</v>
      </c>
      <c r="K323" s="105">
        <f>VLOOKUP($A323,'MG Universe'!$A$2:$R$9994,11)</f>
        <v>13.38</v>
      </c>
      <c r="L323" s="23">
        <f>VLOOKUP($A323,'MG Universe'!$A$2:$R$9994,12)</f>
        <v>1.29E-2</v>
      </c>
      <c r="M323" s="106">
        <f>VLOOKUP($A323,'MG Universe'!$A$2:$R$9994,13)</f>
        <v>1.4</v>
      </c>
      <c r="N323" s="107">
        <f>VLOOKUP($A323,'MG Universe'!$A$2:$R$9994,14)</f>
        <v>1.02</v>
      </c>
      <c r="O323" s="22">
        <f>VLOOKUP($A323,'MG Universe'!$A$2:$R$9994,15)</f>
        <v>-24.46</v>
      </c>
      <c r="P323" s="23">
        <f>VLOOKUP($A323,'MG Universe'!$A$2:$R$9994,16)</f>
        <v>2.4400000000000002E-2</v>
      </c>
      <c r="Q323" s="109">
        <f>VLOOKUP($A323,'MG Universe'!$A$2:$R$9994,17)</f>
        <v>0</v>
      </c>
      <c r="R323" s="22">
        <f>VLOOKUP($A323,'MG Universe'!$A$2:$R$9994,18)</f>
        <v>0</v>
      </c>
    </row>
    <row r="324" spans="1:18" x14ac:dyDescent="0.55000000000000004">
      <c r="A324" s="18" t="s">
        <v>1105</v>
      </c>
      <c r="B324" s="19" t="str">
        <f>VLOOKUP($A324,'MG Universe'!$A$2:$R$9994,2)</f>
        <v>Nasdaq Inc</v>
      </c>
      <c r="C324" s="19" t="str">
        <f>VLOOKUP($A324,'MG Universe'!$A$2:$R$9994,3)</f>
        <v>F</v>
      </c>
      <c r="D324" s="19" t="str">
        <f>VLOOKUP($A324,'MG Universe'!$A$2:$R$9994,4)</f>
        <v>S</v>
      </c>
      <c r="E324" s="19" t="str">
        <f>VLOOKUP($A324,'MG Universe'!$A$2:$R$9994,5)</f>
        <v>O</v>
      </c>
      <c r="F324" s="20" t="str">
        <f>VLOOKUP($A324,'MG Universe'!$A$2:$R$9994,6)</f>
        <v>SO</v>
      </c>
      <c r="G324" s="103">
        <f>VLOOKUP($A324,'MG Universe'!$A$2:$R$9994,7)</f>
        <v>42090</v>
      </c>
      <c r="H324" s="22">
        <f>VLOOKUP($A324,'MG Universe'!$A$2:$R$9994,8)</f>
        <v>34.130000000000003</v>
      </c>
      <c r="I324" s="22">
        <f>VLOOKUP($A324,'MG Universe'!$A$2:$R$9994,9)</f>
        <v>64.489999999999995</v>
      </c>
      <c r="J324" s="23">
        <f>VLOOKUP($A324,'MG Universe'!$A$2:$R$9994,10)</f>
        <v>1.8895</v>
      </c>
      <c r="K324" s="105">
        <f>VLOOKUP($A324,'MG Universe'!$A$2:$R$9994,11)</f>
        <v>29.05</v>
      </c>
      <c r="L324" s="23">
        <f>VLOOKUP($A324,'MG Universe'!$A$2:$R$9994,12)</f>
        <v>1.55E-2</v>
      </c>
      <c r="M324" s="106">
        <f>VLOOKUP($A324,'MG Universe'!$A$2:$R$9994,13)</f>
        <v>0.8</v>
      </c>
      <c r="N324" s="107">
        <f>VLOOKUP($A324,'MG Universe'!$A$2:$R$9994,14)</f>
        <v>1.1399999999999999</v>
      </c>
      <c r="O324" s="22">
        <f>VLOOKUP($A324,'MG Universe'!$A$2:$R$9994,15)</f>
        <v>-16.760000000000002</v>
      </c>
      <c r="P324" s="23">
        <f>VLOOKUP($A324,'MG Universe'!$A$2:$R$9994,16)</f>
        <v>0.1027</v>
      </c>
      <c r="Q324" s="109">
        <f>VLOOKUP($A324,'MG Universe'!$A$2:$R$9994,17)</f>
        <v>0</v>
      </c>
      <c r="R324" s="22">
        <f>VLOOKUP($A324,'MG Universe'!$A$2:$R$9994,18)</f>
        <v>0</v>
      </c>
    </row>
    <row r="325" spans="1:18" x14ac:dyDescent="0.55000000000000004">
      <c r="A325" s="18" t="s">
        <v>942</v>
      </c>
      <c r="B325" s="19" t="str">
        <f>VLOOKUP($A325,'MG Universe'!$A$2:$R$9994,2)</f>
        <v>Noble Corporation Ordinary Shares (UK)</v>
      </c>
      <c r="C325" s="19" t="str">
        <f>VLOOKUP($A325,'MG Universe'!$A$2:$R$9994,3)</f>
        <v>D+</v>
      </c>
      <c r="D325" s="19" t="str">
        <f>VLOOKUP($A325,'MG Universe'!$A$2:$R$9994,4)</f>
        <v>S</v>
      </c>
      <c r="E325" s="19" t="str">
        <f>VLOOKUP($A325,'MG Universe'!$A$2:$R$9994,5)</f>
        <v>O</v>
      </c>
      <c r="F325" s="20" t="str">
        <f>VLOOKUP($A325,'MG Universe'!$A$2:$R$9994,6)</f>
        <v>SO</v>
      </c>
      <c r="G325" s="103">
        <f>VLOOKUP($A325,'MG Universe'!$A$2:$R$9994,7)</f>
        <v>42102</v>
      </c>
      <c r="H325" s="22">
        <f>VLOOKUP($A325,'MG Universe'!$A$2:$R$9994,8)</f>
        <v>0</v>
      </c>
      <c r="I325" s="22">
        <f>VLOOKUP($A325,'MG Universe'!$A$2:$R$9994,9)</f>
        <v>9.2899999999999991</v>
      </c>
      <c r="J325" s="23" t="str">
        <f>VLOOKUP($A325,'MG Universe'!$A$2:$R$9994,10)</f>
        <v>N/A</v>
      </c>
      <c r="K325" s="105">
        <f>VLOOKUP($A325,'MG Universe'!$A$2:$R$9994,11)</f>
        <v>5.7</v>
      </c>
      <c r="L325" s="23">
        <f>VLOOKUP($A325,'MG Universe'!$A$2:$R$9994,12)</f>
        <v>6.4600000000000005E-2</v>
      </c>
      <c r="M325" s="106">
        <f>VLOOKUP($A325,'MG Universe'!$A$2:$R$9994,13)</f>
        <v>1.9</v>
      </c>
      <c r="N325" s="107">
        <f>VLOOKUP($A325,'MG Universe'!$A$2:$R$9994,14)</f>
        <v>1.39</v>
      </c>
      <c r="O325" s="22">
        <f>VLOOKUP($A325,'MG Universe'!$A$2:$R$9994,15)</f>
        <v>-23.21</v>
      </c>
      <c r="P325" s="23">
        <f>VLOOKUP($A325,'MG Universe'!$A$2:$R$9994,16)</f>
        <v>-1.4E-2</v>
      </c>
      <c r="Q325" s="109">
        <f>VLOOKUP($A325,'MG Universe'!$A$2:$R$9994,17)</f>
        <v>0</v>
      </c>
      <c r="R325" s="22">
        <f>VLOOKUP($A325,'MG Universe'!$A$2:$R$9994,18)</f>
        <v>0</v>
      </c>
    </row>
    <row r="326" spans="1:18" x14ac:dyDescent="0.55000000000000004">
      <c r="A326" s="18" t="s">
        <v>425</v>
      </c>
      <c r="B326" s="19" t="str">
        <f>VLOOKUP($A326,'MG Universe'!$A$2:$R$9994,2)</f>
        <v>NextEra Energy Inc</v>
      </c>
      <c r="C326" s="19" t="str">
        <f>VLOOKUP($A326,'MG Universe'!$A$2:$R$9994,3)</f>
        <v>C</v>
      </c>
      <c r="D326" s="19" t="str">
        <f>VLOOKUP($A326,'MG Universe'!$A$2:$R$9994,4)</f>
        <v>S</v>
      </c>
      <c r="E326" s="19" t="str">
        <f>VLOOKUP($A326,'MG Universe'!$A$2:$R$9994,5)</f>
        <v>O</v>
      </c>
      <c r="F326" s="20" t="str">
        <f>VLOOKUP($A326,'MG Universe'!$A$2:$R$9994,6)</f>
        <v>SO</v>
      </c>
      <c r="G326" s="103">
        <f>VLOOKUP($A326,'MG Universe'!$A$2:$R$9994,7)</f>
        <v>42229</v>
      </c>
      <c r="H326" s="22">
        <f>VLOOKUP($A326,'MG Universe'!$A$2:$R$9994,8)</f>
        <v>72.64</v>
      </c>
      <c r="I326" s="22">
        <f>VLOOKUP($A326,'MG Universe'!$A$2:$R$9994,9)</f>
        <v>112.36</v>
      </c>
      <c r="J326" s="23">
        <f>VLOOKUP($A326,'MG Universe'!$A$2:$R$9994,10)</f>
        <v>1.5468</v>
      </c>
      <c r="K326" s="105">
        <f>VLOOKUP($A326,'MG Universe'!$A$2:$R$9994,11)</f>
        <v>21.78</v>
      </c>
      <c r="L326" s="23">
        <f>VLOOKUP($A326,'MG Universe'!$A$2:$R$9994,12)</f>
        <v>3.1E-2</v>
      </c>
      <c r="M326" s="106">
        <f>VLOOKUP($A326,'MG Universe'!$A$2:$R$9994,13)</f>
        <v>0.3</v>
      </c>
      <c r="N326" s="107">
        <f>VLOOKUP($A326,'MG Universe'!$A$2:$R$9994,14)</f>
        <v>0.67</v>
      </c>
      <c r="O326" s="22">
        <f>VLOOKUP($A326,'MG Universe'!$A$2:$R$9994,15)</f>
        <v>-110.23</v>
      </c>
      <c r="P326" s="23">
        <f>VLOOKUP($A326,'MG Universe'!$A$2:$R$9994,16)</f>
        <v>6.6400000000000001E-2</v>
      </c>
      <c r="Q326" s="109">
        <f>VLOOKUP($A326,'MG Universe'!$A$2:$R$9994,17)</f>
        <v>20</v>
      </c>
      <c r="R326" s="22">
        <f>VLOOKUP($A326,'MG Universe'!$A$2:$R$9994,18)</f>
        <v>0</v>
      </c>
    </row>
    <row r="327" spans="1:18" x14ac:dyDescent="0.55000000000000004">
      <c r="A327" s="18" t="s">
        <v>1107</v>
      </c>
      <c r="B327" s="19" t="str">
        <f>VLOOKUP($A327,'MG Universe'!$A$2:$R$9994,2)</f>
        <v>Newmont Mining Corp</v>
      </c>
      <c r="C327" s="19" t="str">
        <f>VLOOKUP($A327,'MG Universe'!$A$2:$R$9994,3)</f>
        <v>F</v>
      </c>
      <c r="D327" s="19" t="str">
        <f>VLOOKUP($A327,'MG Universe'!$A$2:$R$9994,4)</f>
        <v>S</v>
      </c>
      <c r="E327" s="19" t="str">
        <f>VLOOKUP($A327,'MG Universe'!$A$2:$R$9994,5)</f>
        <v>O</v>
      </c>
      <c r="F327" s="20" t="str">
        <f>VLOOKUP($A327,'MG Universe'!$A$2:$R$9994,6)</f>
        <v>SO</v>
      </c>
      <c r="G327" s="103">
        <f>VLOOKUP($A327,'MG Universe'!$A$2:$R$9994,7)</f>
        <v>42104</v>
      </c>
      <c r="H327" s="22">
        <f>VLOOKUP($A327,'MG Universe'!$A$2:$R$9994,8)</f>
        <v>0</v>
      </c>
      <c r="I327" s="22">
        <f>VLOOKUP($A327,'MG Universe'!$A$2:$R$9994,9)</f>
        <v>26.23</v>
      </c>
      <c r="J327" s="23" t="str">
        <f>VLOOKUP($A327,'MG Universe'!$A$2:$R$9994,10)</f>
        <v>N/A</v>
      </c>
      <c r="K327" s="105">
        <f>VLOOKUP($A327,'MG Universe'!$A$2:$R$9994,11)</f>
        <v>238.45</v>
      </c>
      <c r="L327" s="23">
        <f>VLOOKUP($A327,'MG Universe'!$A$2:$R$9994,12)</f>
        <v>3.8E-3</v>
      </c>
      <c r="M327" s="106">
        <f>VLOOKUP($A327,'MG Universe'!$A$2:$R$9994,13)</f>
        <v>0.1</v>
      </c>
      <c r="N327" s="107">
        <f>VLOOKUP($A327,'MG Universe'!$A$2:$R$9994,14)</f>
        <v>2.4700000000000002</v>
      </c>
      <c r="O327" s="22">
        <f>VLOOKUP($A327,'MG Universe'!$A$2:$R$9994,15)</f>
        <v>-18.440000000000001</v>
      </c>
      <c r="P327" s="23">
        <f>VLOOKUP($A327,'MG Universe'!$A$2:$R$9994,16)</f>
        <v>1.1497999999999999</v>
      </c>
      <c r="Q327" s="109">
        <f>VLOOKUP($A327,'MG Universe'!$A$2:$R$9994,17)</f>
        <v>0</v>
      </c>
      <c r="R327" s="22">
        <f>VLOOKUP($A327,'MG Universe'!$A$2:$R$9994,18)</f>
        <v>0</v>
      </c>
    </row>
    <row r="328" spans="1:18" x14ac:dyDescent="0.55000000000000004">
      <c r="A328" s="18" t="s">
        <v>1109</v>
      </c>
      <c r="B328" s="19" t="str">
        <f>VLOOKUP($A328,'MG Universe'!$A$2:$R$9994,2)</f>
        <v>Netflix, Inc.</v>
      </c>
      <c r="C328" s="19" t="str">
        <f>VLOOKUP($A328,'MG Universe'!$A$2:$R$9994,3)</f>
        <v>F</v>
      </c>
      <c r="D328" s="19" t="str">
        <f>VLOOKUP($A328,'MG Universe'!$A$2:$R$9994,4)</f>
        <v>S</v>
      </c>
      <c r="E328" s="19" t="str">
        <f>VLOOKUP($A328,'MG Universe'!$A$2:$R$9994,5)</f>
        <v>O</v>
      </c>
      <c r="F328" s="20" t="str">
        <f>VLOOKUP($A328,'MG Universe'!$A$2:$R$9994,6)</f>
        <v>SO</v>
      </c>
      <c r="G328" s="103">
        <f>VLOOKUP($A328,'MG Universe'!$A$2:$R$9994,7)</f>
        <v>42321</v>
      </c>
      <c r="H328" s="22">
        <f>VLOOKUP($A328,'MG Universe'!$A$2:$R$9994,8)</f>
        <v>0.95</v>
      </c>
      <c r="I328" s="22">
        <f>VLOOKUP($A328,'MG Universe'!$A$2:$R$9994,9)</f>
        <v>97.61</v>
      </c>
      <c r="J328" s="23">
        <f>VLOOKUP($A328,'MG Universe'!$A$2:$R$9994,10)</f>
        <v>102.7474</v>
      </c>
      <c r="K328" s="105">
        <f>VLOOKUP($A328,'MG Universe'!$A$2:$R$9994,11)</f>
        <v>295.79000000000002</v>
      </c>
      <c r="L328" s="23" t="str">
        <f>VLOOKUP($A328,'MG Universe'!$A$2:$R$9994,12)</f>
        <v>N/A</v>
      </c>
      <c r="M328" s="106">
        <f>VLOOKUP($A328,'MG Universe'!$A$2:$R$9994,13)</f>
        <v>1.7</v>
      </c>
      <c r="N328" s="107">
        <f>VLOOKUP($A328,'MG Universe'!$A$2:$R$9994,14)</f>
        <v>1.67</v>
      </c>
      <c r="O328" s="22">
        <f>VLOOKUP($A328,'MG Universe'!$A$2:$R$9994,15)</f>
        <v>-4.9800000000000004</v>
      </c>
      <c r="P328" s="23">
        <f>VLOOKUP($A328,'MG Universe'!$A$2:$R$9994,16)</f>
        <v>1.4363999999999999</v>
      </c>
      <c r="Q328" s="109">
        <f>VLOOKUP($A328,'MG Universe'!$A$2:$R$9994,17)</f>
        <v>0</v>
      </c>
      <c r="R328" s="22">
        <f>VLOOKUP($A328,'MG Universe'!$A$2:$R$9994,18)</f>
        <v>4.7</v>
      </c>
    </row>
    <row r="329" spans="1:18" x14ac:dyDescent="0.55000000000000004">
      <c r="A329" s="18" t="s">
        <v>1111</v>
      </c>
      <c r="B329" s="19" t="str">
        <f>VLOOKUP($A329,'MG Universe'!$A$2:$R$9994,2)</f>
        <v>Newfield Exploration Co.</v>
      </c>
      <c r="C329" s="19" t="str">
        <f>VLOOKUP($A329,'MG Universe'!$A$2:$R$9994,3)</f>
        <v>F</v>
      </c>
      <c r="D329" s="19" t="str">
        <f>VLOOKUP($A329,'MG Universe'!$A$2:$R$9994,4)</f>
        <v>S</v>
      </c>
      <c r="E329" s="19" t="str">
        <f>VLOOKUP($A329,'MG Universe'!$A$2:$R$9994,5)</f>
        <v>O</v>
      </c>
      <c r="F329" s="20" t="str">
        <f>VLOOKUP($A329,'MG Universe'!$A$2:$R$9994,6)</f>
        <v>SO</v>
      </c>
      <c r="G329" s="103">
        <f>VLOOKUP($A329,'MG Universe'!$A$2:$R$9994,7)</f>
        <v>42158</v>
      </c>
      <c r="H329" s="22">
        <f>VLOOKUP($A329,'MG Universe'!$A$2:$R$9994,8)</f>
        <v>2.25</v>
      </c>
      <c r="I329" s="22">
        <f>VLOOKUP($A329,'MG Universe'!$A$2:$R$9994,9)</f>
        <v>29</v>
      </c>
      <c r="J329" s="23">
        <f>VLOOKUP($A329,'MG Universe'!$A$2:$R$9994,10)</f>
        <v>12.8889</v>
      </c>
      <c r="K329" s="105">
        <f>VLOOKUP($A329,'MG Universe'!$A$2:$R$9994,11)</f>
        <v>26.61</v>
      </c>
      <c r="L329" s="23" t="str">
        <f>VLOOKUP($A329,'MG Universe'!$A$2:$R$9994,12)</f>
        <v>N/A</v>
      </c>
      <c r="M329" s="106">
        <f>VLOOKUP($A329,'MG Universe'!$A$2:$R$9994,13)</f>
        <v>1.3</v>
      </c>
      <c r="N329" s="107">
        <f>VLOOKUP($A329,'MG Universe'!$A$2:$R$9994,14)</f>
        <v>1.87</v>
      </c>
      <c r="O329" s="22">
        <f>VLOOKUP($A329,'MG Universe'!$A$2:$R$9994,15)</f>
        <v>-26.41</v>
      </c>
      <c r="P329" s="23">
        <f>VLOOKUP($A329,'MG Universe'!$A$2:$R$9994,16)</f>
        <v>9.0499999999999997E-2</v>
      </c>
      <c r="Q329" s="109">
        <f>VLOOKUP($A329,'MG Universe'!$A$2:$R$9994,17)</f>
        <v>0</v>
      </c>
      <c r="R329" s="22">
        <f>VLOOKUP($A329,'MG Universe'!$A$2:$R$9994,18)</f>
        <v>0</v>
      </c>
    </row>
    <row r="330" spans="1:18" x14ac:dyDescent="0.55000000000000004">
      <c r="A330" s="18" t="s">
        <v>427</v>
      </c>
      <c r="B330" s="19" t="str">
        <f>VLOOKUP($A330,'MG Universe'!$A$2:$R$9994,2)</f>
        <v>NiSource Inc.</v>
      </c>
      <c r="C330" s="19" t="str">
        <f>VLOOKUP($A330,'MG Universe'!$A$2:$R$9994,3)</f>
        <v>C</v>
      </c>
      <c r="D330" s="19" t="str">
        <f>VLOOKUP($A330,'MG Universe'!$A$2:$R$9994,4)</f>
        <v>S</v>
      </c>
      <c r="E330" s="19" t="str">
        <f>VLOOKUP($A330,'MG Universe'!$A$2:$R$9994,5)</f>
        <v>U</v>
      </c>
      <c r="F330" s="20" t="str">
        <f>VLOOKUP($A330,'MG Universe'!$A$2:$R$9994,6)</f>
        <v>SU</v>
      </c>
      <c r="G330" s="103">
        <f>VLOOKUP($A330,'MG Universe'!$A$2:$R$9994,7)</f>
        <v>42180</v>
      </c>
      <c r="H330" s="22">
        <f>VLOOKUP($A330,'MG Universe'!$A$2:$R$9994,8)</f>
        <v>40.93</v>
      </c>
      <c r="I330" s="22">
        <f>VLOOKUP($A330,'MG Universe'!$A$2:$R$9994,9)</f>
        <v>22.07</v>
      </c>
      <c r="J330" s="23">
        <f>VLOOKUP($A330,'MG Universe'!$A$2:$R$9994,10)</f>
        <v>0.53920000000000001</v>
      </c>
      <c r="K330" s="105">
        <f>VLOOKUP($A330,'MG Universe'!$A$2:$R$9994,11)</f>
        <v>13.62</v>
      </c>
      <c r="L330" s="23">
        <f>VLOOKUP($A330,'MG Universe'!$A$2:$R$9994,12)</f>
        <v>2.81E-2</v>
      </c>
      <c r="M330" s="106">
        <f>VLOOKUP($A330,'MG Universe'!$A$2:$R$9994,13)</f>
        <v>0.2</v>
      </c>
      <c r="N330" s="107">
        <f>VLOOKUP($A330,'MG Universe'!$A$2:$R$9994,14)</f>
        <v>0.82</v>
      </c>
      <c r="O330" s="22">
        <f>VLOOKUP($A330,'MG Universe'!$A$2:$R$9994,15)</f>
        <v>-50.77</v>
      </c>
      <c r="P330" s="23">
        <f>VLOOKUP($A330,'MG Universe'!$A$2:$R$9994,16)</f>
        <v>2.5600000000000001E-2</v>
      </c>
      <c r="Q330" s="109">
        <f>VLOOKUP($A330,'MG Universe'!$A$2:$R$9994,17)</f>
        <v>0</v>
      </c>
      <c r="R330" s="22">
        <f>VLOOKUP($A330,'MG Universe'!$A$2:$R$9994,18)</f>
        <v>0</v>
      </c>
    </row>
    <row r="331" spans="1:18" x14ac:dyDescent="0.55000000000000004">
      <c r="A331" s="18" t="s">
        <v>265</v>
      </c>
      <c r="B331" s="19" t="str">
        <f>VLOOKUP($A331,'MG Universe'!$A$2:$R$9994,2)</f>
        <v>Nike Inc</v>
      </c>
      <c r="C331" s="19" t="str">
        <f>VLOOKUP($A331,'MG Universe'!$A$2:$R$9994,3)</f>
        <v>B-</v>
      </c>
      <c r="D331" s="19" t="str">
        <f>VLOOKUP($A331,'MG Universe'!$A$2:$R$9994,4)</f>
        <v>E</v>
      </c>
      <c r="E331" s="19" t="str">
        <f>VLOOKUP($A331,'MG Universe'!$A$2:$R$9994,5)</f>
        <v>U</v>
      </c>
      <c r="F331" s="20" t="str">
        <f>VLOOKUP($A331,'MG Universe'!$A$2:$R$9994,6)</f>
        <v>EU</v>
      </c>
      <c r="G331" s="103">
        <f>VLOOKUP($A331,'MG Universe'!$A$2:$R$9994,7)</f>
        <v>42320</v>
      </c>
      <c r="H331" s="22">
        <f>VLOOKUP($A331,'MG Universe'!$A$2:$R$9994,8)</f>
        <v>97.92</v>
      </c>
      <c r="I331" s="22">
        <f>VLOOKUP($A331,'MG Universe'!$A$2:$R$9994,9)</f>
        <v>62.18</v>
      </c>
      <c r="J331" s="23">
        <f>VLOOKUP($A331,'MG Universe'!$A$2:$R$9994,10)</f>
        <v>0.63500000000000001</v>
      </c>
      <c r="K331" s="105">
        <f>VLOOKUP($A331,'MG Universe'!$A$2:$R$9994,11)</f>
        <v>17.920000000000002</v>
      </c>
      <c r="L331" s="23">
        <f>VLOOKUP($A331,'MG Universe'!$A$2:$R$9994,12)</f>
        <v>1.03E-2</v>
      </c>
      <c r="M331" s="106">
        <f>VLOOKUP($A331,'MG Universe'!$A$2:$R$9994,13)</f>
        <v>0.6</v>
      </c>
      <c r="N331" s="107">
        <f>VLOOKUP($A331,'MG Universe'!$A$2:$R$9994,14)</f>
        <v>2.89</v>
      </c>
      <c r="O331" s="22">
        <f>VLOOKUP($A331,'MG Universe'!$A$2:$R$9994,15)</f>
        <v>8.4</v>
      </c>
      <c r="P331" s="23">
        <f>VLOOKUP($A331,'MG Universe'!$A$2:$R$9994,16)</f>
        <v>4.7100000000000003E-2</v>
      </c>
      <c r="Q331" s="109">
        <f>VLOOKUP($A331,'MG Universe'!$A$2:$R$9994,17)</f>
        <v>8</v>
      </c>
      <c r="R331" s="22">
        <f>VLOOKUP($A331,'MG Universe'!$A$2:$R$9994,18)</f>
        <v>37.29</v>
      </c>
    </row>
    <row r="332" spans="1:18" x14ac:dyDescent="0.55000000000000004">
      <c r="A332" s="18" t="s">
        <v>944</v>
      </c>
      <c r="B332" s="19" t="str">
        <f>VLOOKUP($A332,'MG Universe'!$A$2:$R$9994,2)</f>
        <v>Nielsen N.V. Ordinary Shares</v>
      </c>
      <c r="C332" s="19" t="str">
        <f>VLOOKUP($A332,'MG Universe'!$A$2:$R$9994,3)</f>
        <v>D+</v>
      </c>
      <c r="D332" s="19" t="str">
        <f>VLOOKUP($A332,'MG Universe'!$A$2:$R$9994,4)</f>
        <v>S</v>
      </c>
      <c r="E332" s="19" t="str">
        <f>VLOOKUP($A332,'MG Universe'!$A$2:$R$9994,5)</f>
        <v>F</v>
      </c>
      <c r="F332" s="20" t="str">
        <f>VLOOKUP($A332,'MG Universe'!$A$2:$R$9994,6)</f>
        <v>SF</v>
      </c>
      <c r="G332" s="103">
        <f>VLOOKUP($A332,'MG Universe'!$A$2:$R$9994,7)</f>
        <v>42200</v>
      </c>
      <c r="H332" s="22">
        <f>VLOOKUP($A332,'MG Universe'!$A$2:$R$9994,8)</f>
        <v>62.91</v>
      </c>
      <c r="I332" s="22">
        <f>VLOOKUP($A332,'MG Universe'!$A$2:$R$9994,9)</f>
        <v>50.78</v>
      </c>
      <c r="J332" s="23">
        <f>VLOOKUP($A332,'MG Universe'!$A$2:$R$9994,10)</f>
        <v>0.80720000000000003</v>
      </c>
      <c r="K332" s="105">
        <f>VLOOKUP($A332,'MG Universe'!$A$2:$R$9994,11)</f>
        <v>31.15</v>
      </c>
      <c r="L332" s="23">
        <f>VLOOKUP($A332,'MG Universe'!$A$2:$R$9994,12)</f>
        <v>2.2100000000000002E-2</v>
      </c>
      <c r="M332" s="106">
        <f>VLOOKUP($A332,'MG Universe'!$A$2:$R$9994,13)</f>
        <v>0.9</v>
      </c>
      <c r="N332" s="107">
        <f>VLOOKUP($A332,'MG Universe'!$A$2:$R$9994,14)</f>
        <v>1.44</v>
      </c>
      <c r="O332" s="22">
        <f>VLOOKUP($A332,'MG Universe'!$A$2:$R$9994,15)</f>
        <v>-22.79</v>
      </c>
      <c r="P332" s="23">
        <f>VLOOKUP($A332,'MG Universe'!$A$2:$R$9994,16)</f>
        <v>0.1133</v>
      </c>
      <c r="Q332" s="109">
        <f>VLOOKUP($A332,'MG Universe'!$A$2:$R$9994,17)</f>
        <v>0</v>
      </c>
      <c r="R332" s="22">
        <f>VLOOKUP($A332,'MG Universe'!$A$2:$R$9994,18)</f>
        <v>0</v>
      </c>
    </row>
    <row r="333" spans="1:18" x14ac:dyDescent="0.55000000000000004">
      <c r="A333" s="18" t="s">
        <v>948</v>
      </c>
      <c r="B333" s="19" t="str">
        <f>VLOOKUP($A333,'MG Universe'!$A$2:$R$9994,2)</f>
        <v>Northrop Grumman Corporation</v>
      </c>
      <c r="C333" s="19" t="str">
        <f>VLOOKUP($A333,'MG Universe'!$A$2:$R$9994,3)</f>
        <v>D+</v>
      </c>
      <c r="D333" s="19" t="str">
        <f>VLOOKUP($A333,'MG Universe'!$A$2:$R$9994,4)</f>
        <v>S</v>
      </c>
      <c r="E333" s="19" t="str">
        <f>VLOOKUP($A333,'MG Universe'!$A$2:$R$9994,5)</f>
        <v>U</v>
      </c>
      <c r="F333" s="20" t="str">
        <f>VLOOKUP($A333,'MG Universe'!$A$2:$R$9994,6)</f>
        <v>SU</v>
      </c>
      <c r="G333" s="103">
        <f>VLOOKUP($A333,'MG Universe'!$A$2:$R$9994,7)</f>
        <v>42313</v>
      </c>
      <c r="H333" s="22">
        <f>VLOOKUP($A333,'MG Universe'!$A$2:$R$9994,8)</f>
        <v>276.24</v>
      </c>
      <c r="I333" s="22">
        <f>VLOOKUP($A333,'MG Universe'!$A$2:$R$9994,9)</f>
        <v>193.34</v>
      </c>
      <c r="J333" s="23">
        <f>VLOOKUP($A333,'MG Universe'!$A$2:$R$9994,10)</f>
        <v>0.69989999999999997</v>
      </c>
      <c r="K333" s="105">
        <f>VLOOKUP($A333,'MG Universe'!$A$2:$R$9994,11)</f>
        <v>21.39</v>
      </c>
      <c r="L333" s="23">
        <f>VLOOKUP($A333,'MG Universe'!$A$2:$R$9994,12)</f>
        <v>1.66E-2</v>
      </c>
      <c r="M333" s="106">
        <f>VLOOKUP($A333,'MG Universe'!$A$2:$R$9994,13)</f>
        <v>0.9</v>
      </c>
      <c r="N333" s="107">
        <f>VLOOKUP($A333,'MG Universe'!$A$2:$R$9994,14)</f>
        <v>1.1599999999999999</v>
      </c>
      <c r="O333" s="22">
        <f>VLOOKUP($A333,'MG Universe'!$A$2:$R$9994,15)</f>
        <v>-65.56</v>
      </c>
      <c r="P333" s="23">
        <f>VLOOKUP($A333,'MG Universe'!$A$2:$R$9994,16)</f>
        <v>6.4399999999999999E-2</v>
      </c>
      <c r="Q333" s="109">
        <f>VLOOKUP($A333,'MG Universe'!$A$2:$R$9994,17)</f>
        <v>12</v>
      </c>
      <c r="R333" s="22">
        <f>VLOOKUP($A333,'MG Universe'!$A$2:$R$9994,18)</f>
        <v>82.34</v>
      </c>
    </row>
    <row r="334" spans="1:18" x14ac:dyDescent="0.55000000000000004">
      <c r="A334" s="18" t="s">
        <v>116</v>
      </c>
      <c r="B334" s="19" t="str">
        <f>VLOOKUP($A334,'MG Universe'!$A$2:$R$9994,2)</f>
        <v>National-Oilwell Varco, Inc.</v>
      </c>
      <c r="C334" s="19" t="str">
        <f>VLOOKUP($A334,'MG Universe'!$A$2:$R$9994,3)</f>
        <v>A-</v>
      </c>
      <c r="D334" s="19" t="str">
        <f>VLOOKUP($A334,'MG Universe'!$A$2:$R$9994,4)</f>
        <v>E</v>
      </c>
      <c r="E334" s="19" t="str">
        <f>VLOOKUP($A334,'MG Universe'!$A$2:$R$9994,5)</f>
        <v>U</v>
      </c>
      <c r="F334" s="20" t="str">
        <f>VLOOKUP($A334,'MG Universe'!$A$2:$R$9994,6)</f>
        <v>EU</v>
      </c>
      <c r="G334" s="103">
        <f>VLOOKUP($A334,'MG Universe'!$A$2:$R$9994,7)</f>
        <v>42404</v>
      </c>
      <c r="H334" s="22">
        <f>VLOOKUP($A334,'MG Universe'!$A$2:$R$9994,8)</f>
        <v>40.92</v>
      </c>
      <c r="I334" s="22">
        <f>VLOOKUP($A334,'MG Universe'!$A$2:$R$9994,9)</f>
        <v>30.5</v>
      </c>
      <c r="J334" s="23">
        <f>VLOOKUP($A334,'MG Universe'!$A$2:$R$9994,10)</f>
        <v>0.74539999999999995</v>
      </c>
      <c r="K334" s="105">
        <f>VLOOKUP($A334,'MG Universe'!$A$2:$R$9994,11)</f>
        <v>7</v>
      </c>
      <c r="L334" s="23">
        <f>VLOOKUP($A334,'MG Universe'!$A$2:$R$9994,12)</f>
        <v>6.0299999999999999E-2</v>
      </c>
      <c r="M334" s="106">
        <f>VLOOKUP($A334,'MG Universe'!$A$2:$R$9994,13)</f>
        <v>1.6</v>
      </c>
      <c r="N334" s="107">
        <f>VLOOKUP($A334,'MG Universe'!$A$2:$R$9994,14)</f>
        <v>2.4900000000000002</v>
      </c>
      <c r="O334" s="22">
        <f>VLOOKUP($A334,'MG Universe'!$A$2:$R$9994,15)</f>
        <v>3.76</v>
      </c>
      <c r="P334" s="23">
        <f>VLOOKUP($A334,'MG Universe'!$A$2:$R$9994,16)</f>
        <v>-7.4999999999999997E-3</v>
      </c>
      <c r="Q334" s="109">
        <f>VLOOKUP($A334,'MG Universe'!$A$2:$R$9994,17)</f>
        <v>7</v>
      </c>
      <c r="R334" s="22">
        <f>VLOOKUP($A334,'MG Universe'!$A$2:$R$9994,18)</f>
        <v>45.29</v>
      </c>
    </row>
    <row r="335" spans="1:18" x14ac:dyDescent="0.55000000000000004">
      <c r="A335" s="18" t="s">
        <v>1162</v>
      </c>
      <c r="B335" s="19" t="str">
        <f>VLOOKUP($A335,'MG Universe'!$A$2:$R$9994,2)</f>
        <v>National Presto Industries Inc.</v>
      </c>
      <c r="C335" s="19" t="str">
        <f>VLOOKUP($A335,'MG Universe'!$A$2:$R$9994,3)</f>
        <v>C</v>
      </c>
      <c r="D335" s="19" t="str">
        <f>VLOOKUP($A335,'MG Universe'!$A$2:$R$9994,4)</f>
        <v>E</v>
      </c>
      <c r="E335" s="19" t="str">
        <f>VLOOKUP($A335,'MG Universe'!$A$2:$R$9994,5)</f>
        <v>O</v>
      </c>
      <c r="F335" s="20" t="str">
        <f>VLOOKUP($A335,'MG Universe'!$A$2:$R$9994,6)</f>
        <v>EO</v>
      </c>
      <c r="G335" s="103">
        <f>VLOOKUP($A335,'MG Universe'!$A$2:$R$9994,7)</f>
        <v>42400</v>
      </c>
      <c r="H335" s="22">
        <f>VLOOKUP($A335,'MG Universe'!$A$2:$R$9994,8)</f>
        <v>28.4</v>
      </c>
      <c r="I335" s="22">
        <f>VLOOKUP($A335,'MG Universe'!$A$2:$R$9994,9)</f>
        <v>79.319999999999993</v>
      </c>
      <c r="J335" s="23">
        <f>VLOOKUP($A335,'MG Universe'!$A$2:$R$9994,10)</f>
        <v>2.7930000000000001</v>
      </c>
      <c r="K335" s="105">
        <f>VLOOKUP($A335,'MG Universe'!$A$2:$R$9994,11)</f>
        <v>16.88</v>
      </c>
      <c r="L335" s="23">
        <f>VLOOKUP($A335,'MG Universe'!$A$2:$R$9994,12)</f>
        <v>1.26E-2</v>
      </c>
      <c r="M335" s="106">
        <f>VLOOKUP($A335,'MG Universe'!$A$2:$R$9994,13)</f>
        <v>0.7</v>
      </c>
      <c r="N335" s="107">
        <f>VLOOKUP($A335,'MG Universe'!$A$2:$R$9994,14)</f>
        <v>5.39</v>
      </c>
      <c r="O335" s="22">
        <f>VLOOKUP($A335,'MG Universe'!$A$2:$R$9994,15)</f>
        <v>28.4</v>
      </c>
      <c r="P335" s="23">
        <f>VLOOKUP($A335,'MG Universe'!$A$2:$R$9994,16)</f>
        <v>4.19E-2</v>
      </c>
      <c r="Q335" s="109">
        <f>VLOOKUP($A335,'MG Universe'!$A$2:$R$9994,17)</f>
        <v>2</v>
      </c>
      <c r="R335" s="22">
        <f>VLOOKUP($A335,'MG Universe'!$A$2:$R$9994,18)</f>
        <v>63.38</v>
      </c>
    </row>
    <row r="336" spans="1:18" x14ac:dyDescent="0.55000000000000004">
      <c r="A336" s="18" t="s">
        <v>193</v>
      </c>
      <c r="B336" s="19" t="str">
        <f>VLOOKUP($A336,'MG Universe'!$A$2:$R$9994,2)</f>
        <v>Norfolk Southern Corp.</v>
      </c>
      <c r="C336" s="19" t="str">
        <f>VLOOKUP($A336,'MG Universe'!$A$2:$R$9994,3)</f>
        <v>B</v>
      </c>
      <c r="D336" s="19" t="str">
        <f>VLOOKUP($A336,'MG Universe'!$A$2:$R$9994,4)</f>
        <v>D</v>
      </c>
      <c r="E336" s="19" t="str">
        <f>VLOOKUP($A336,'MG Universe'!$A$2:$R$9994,5)</f>
        <v>F</v>
      </c>
      <c r="F336" s="20" t="str">
        <f>VLOOKUP($A336,'MG Universe'!$A$2:$R$9994,6)</f>
        <v>DF</v>
      </c>
      <c r="G336" s="103">
        <f>VLOOKUP($A336,'MG Universe'!$A$2:$R$9994,7)</f>
        <v>42403</v>
      </c>
      <c r="H336" s="22">
        <f>VLOOKUP($A336,'MG Universe'!$A$2:$R$9994,8)</f>
        <v>78.23</v>
      </c>
      <c r="I336" s="22">
        <f>VLOOKUP($A336,'MG Universe'!$A$2:$R$9994,9)</f>
        <v>76.400000000000006</v>
      </c>
      <c r="J336" s="23">
        <f>VLOOKUP($A336,'MG Universe'!$A$2:$R$9994,10)</f>
        <v>0.97660000000000002</v>
      </c>
      <c r="K336" s="105">
        <f>VLOOKUP($A336,'MG Universe'!$A$2:$R$9994,11)</f>
        <v>13.69</v>
      </c>
      <c r="L336" s="23">
        <f>VLOOKUP($A336,'MG Universe'!$A$2:$R$9994,12)</f>
        <v>3.09E-2</v>
      </c>
      <c r="M336" s="106">
        <f>VLOOKUP($A336,'MG Universe'!$A$2:$R$9994,13)</f>
        <v>1.3</v>
      </c>
      <c r="N336" s="107">
        <f>VLOOKUP($A336,'MG Universe'!$A$2:$R$9994,14)</f>
        <v>1.18</v>
      </c>
      <c r="O336" s="22">
        <f>VLOOKUP($A336,'MG Universe'!$A$2:$R$9994,15)</f>
        <v>-65.11</v>
      </c>
      <c r="P336" s="23">
        <f>VLOOKUP($A336,'MG Universe'!$A$2:$R$9994,16)</f>
        <v>2.5999999999999999E-2</v>
      </c>
      <c r="Q336" s="109">
        <f>VLOOKUP($A336,'MG Universe'!$A$2:$R$9994,17)</f>
        <v>15</v>
      </c>
      <c r="R336" s="22">
        <f>VLOOKUP($A336,'MG Universe'!$A$2:$R$9994,18)</f>
        <v>67.77</v>
      </c>
    </row>
    <row r="337" spans="1:18" x14ac:dyDescent="0.55000000000000004">
      <c r="A337" s="18" t="s">
        <v>332</v>
      </c>
      <c r="B337" s="19" t="str">
        <f>VLOOKUP($A337,'MG Universe'!$A$2:$R$9994,2)</f>
        <v>NetApp Inc.</v>
      </c>
      <c r="C337" s="19" t="str">
        <f>VLOOKUP($A337,'MG Universe'!$A$2:$R$9994,3)</f>
        <v>B+</v>
      </c>
      <c r="D337" s="19" t="str">
        <f>VLOOKUP($A337,'MG Universe'!$A$2:$R$9994,4)</f>
        <v>D</v>
      </c>
      <c r="E337" s="19" t="str">
        <f>VLOOKUP($A337,'MG Universe'!$A$2:$R$9994,5)</f>
        <v>U</v>
      </c>
      <c r="F337" s="20" t="str">
        <f>VLOOKUP($A337,'MG Universe'!$A$2:$R$9994,6)</f>
        <v>DU</v>
      </c>
      <c r="G337" s="103">
        <f>VLOOKUP($A337,'MG Universe'!$A$2:$R$9994,7)</f>
        <v>42271</v>
      </c>
      <c r="H337" s="22">
        <f>VLOOKUP($A337,'MG Universe'!$A$2:$R$9994,8)</f>
        <v>37.94</v>
      </c>
      <c r="I337" s="22">
        <f>VLOOKUP($A337,'MG Universe'!$A$2:$R$9994,9)</f>
        <v>25.69</v>
      </c>
      <c r="J337" s="23">
        <f>VLOOKUP($A337,'MG Universe'!$A$2:$R$9994,10)</f>
        <v>0.67710000000000004</v>
      </c>
      <c r="K337" s="105">
        <f>VLOOKUP($A337,'MG Universe'!$A$2:$R$9994,11)</f>
        <v>14.04</v>
      </c>
      <c r="L337" s="23">
        <f>VLOOKUP($A337,'MG Universe'!$A$2:$R$9994,12)</f>
        <v>2.8000000000000001E-2</v>
      </c>
      <c r="M337" s="106">
        <f>VLOOKUP($A337,'MG Universe'!$A$2:$R$9994,13)</f>
        <v>1.7</v>
      </c>
      <c r="N337" s="107">
        <f>VLOOKUP($A337,'MG Universe'!$A$2:$R$9994,14)</f>
        <v>2.4700000000000002</v>
      </c>
      <c r="O337" s="22">
        <f>VLOOKUP($A337,'MG Universe'!$A$2:$R$9994,15)</f>
        <v>1.39</v>
      </c>
      <c r="P337" s="23">
        <f>VLOOKUP($A337,'MG Universe'!$A$2:$R$9994,16)</f>
        <v>2.7699999999999999E-2</v>
      </c>
      <c r="Q337" s="109">
        <f>VLOOKUP($A337,'MG Universe'!$A$2:$R$9994,17)</f>
        <v>3</v>
      </c>
      <c r="R337" s="22">
        <f>VLOOKUP($A337,'MG Universe'!$A$2:$R$9994,18)</f>
        <v>22</v>
      </c>
    </row>
    <row r="338" spans="1:18" x14ac:dyDescent="0.55000000000000004">
      <c r="A338" s="18" t="s">
        <v>267</v>
      </c>
      <c r="B338" s="19" t="str">
        <f>VLOOKUP($A338,'MG Universe'!$A$2:$R$9994,2)</f>
        <v>Northern Trust Corporation</v>
      </c>
      <c r="C338" s="19" t="str">
        <f>VLOOKUP($A338,'MG Universe'!$A$2:$R$9994,3)</f>
        <v>B-</v>
      </c>
      <c r="D338" s="19" t="str">
        <f>VLOOKUP($A338,'MG Universe'!$A$2:$R$9994,4)</f>
        <v>E</v>
      </c>
      <c r="E338" s="19" t="str">
        <f>VLOOKUP($A338,'MG Universe'!$A$2:$R$9994,5)</f>
        <v>F</v>
      </c>
      <c r="F338" s="20" t="str">
        <f>VLOOKUP($A338,'MG Universe'!$A$2:$R$9994,6)</f>
        <v>EF</v>
      </c>
      <c r="G338" s="103">
        <f>VLOOKUP($A338,'MG Universe'!$A$2:$R$9994,7)</f>
        <v>42394</v>
      </c>
      <c r="H338" s="22">
        <f>VLOOKUP($A338,'MG Universe'!$A$2:$R$9994,8)</f>
        <v>63.53</v>
      </c>
      <c r="I338" s="22">
        <f>VLOOKUP($A338,'MG Universe'!$A$2:$R$9994,9)</f>
        <v>63.23</v>
      </c>
      <c r="J338" s="23">
        <f>VLOOKUP($A338,'MG Universe'!$A$2:$R$9994,10)</f>
        <v>0.99529999999999996</v>
      </c>
      <c r="K338" s="105">
        <f>VLOOKUP($A338,'MG Universe'!$A$2:$R$9994,11)</f>
        <v>17.420000000000002</v>
      </c>
      <c r="L338" s="23">
        <f>VLOOKUP($A338,'MG Universe'!$A$2:$R$9994,12)</f>
        <v>2.2800000000000001E-2</v>
      </c>
      <c r="M338" s="106">
        <f>VLOOKUP($A338,'MG Universe'!$A$2:$R$9994,13)</f>
        <v>1.2</v>
      </c>
      <c r="N338" s="107" t="str">
        <f>VLOOKUP($A338,'MG Universe'!$A$2:$R$9994,14)</f>
        <v>N/A</v>
      </c>
      <c r="O338" s="22" t="str">
        <f>VLOOKUP($A338,'MG Universe'!$A$2:$R$9994,15)</f>
        <v>N/A</v>
      </c>
      <c r="P338" s="23">
        <f>VLOOKUP($A338,'MG Universe'!$A$2:$R$9994,16)</f>
        <v>4.4600000000000001E-2</v>
      </c>
      <c r="Q338" s="109">
        <f>VLOOKUP($A338,'MG Universe'!$A$2:$R$9994,17)</f>
        <v>5</v>
      </c>
      <c r="R338" s="22">
        <f>VLOOKUP($A338,'MG Universe'!$A$2:$R$9994,18)</f>
        <v>57.85</v>
      </c>
    </row>
    <row r="339" spans="1:18" x14ac:dyDescent="0.55000000000000004">
      <c r="A339" s="18" t="s">
        <v>431</v>
      </c>
      <c r="B339" s="19" t="str">
        <f>VLOOKUP($A339,'MG Universe'!$A$2:$R$9994,2)</f>
        <v>Nucor Corporation</v>
      </c>
      <c r="C339" s="19" t="str">
        <f>VLOOKUP($A339,'MG Universe'!$A$2:$R$9994,3)</f>
        <v>C</v>
      </c>
      <c r="D339" s="19" t="str">
        <f>VLOOKUP($A339,'MG Universe'!$A$2:$R$9994,4)</f>
        <v>E</v>
      </c>
      <c r="E339" s="19" t="str">
        <f>VLOOKUP($A339,'MG Universe'!$A$2:$R$9994,5)</f>
        <v>O</v>
      </c>
      <c r="F339" s="20" t="str">
        <f>VLOOKUP($A339,'MG Universe'!$A$2:$R$9994,6)</f>
        <v>EO</v>
      </c>
      <c r="G339" s="103">
        <f>VLOOKUP($A339,'MG Universe'!$A$2:$R$9994,7)</f>
        <v>42404</v>
      </c>
      <c r="H339" s="22">
        <f>VLOOKUP($A339,'MG Universe'!$A$2:$R$9994,8)</f>
        <v>9.09</v>
      </c>
      <c r="I339" s="22">
        <f>VLOOKUP($A339,'MG Universe'!$A$2:$R$9994,9)</f>
        <v>42.24</v>
      </c>
      <c r="J339" s="23">
        <f>VLOOKUP($A339,'MG Universe'!$A$2:$R$9994,10)</f>
        <v>4.6468999999999996</v>
      </c>
      <c r="K339" s="105">
        <f>VLOOKUP($A339,'MG Universe'!$A$2:$R$9994,11)</f>
        <v>29.54</v>
      </c>
      <c r="L339" s="23">
        <f>VLOOKUP($A339,'MG Universe'!$A$2:$R$9994,12)</f>
        <v>3.5499999999999997E-2</v>
      </c>
      <c r="M339" s="106">
        <f>VLOOKUP($A339,'MG Universe'!$A$2:$R$9994,13)</f>
        <v>1.4</v>
      </c>
      <c r="N339" s="107">
        <f>VLOOKUP($A339,'MG Universe'!$A$2:$R$9994,14)</f>
        <v>4.1500000000000004</v>
      </c>
      <c r="O339" s="22">
        <f>VLOOKUP($A339,'MG Universe'!$A$2:$R$9994,15)</f>
        <v>-3.37</v>
      </c>
      <c r="P339" s="23">
        <f>VLOOKUP($A339,'MG Universe'!$A$2:$R$9994,16)</f>
        <v>0.1052</v>
      </c>
      <c r="Q339" s="109">
        <f>VLOOKUP($A339,'MG Universe'!$A$2:$R$9994,17)</f>
        <v>7</v>
      </c>
      <c r="R339" s="22">
        <f>VLOOKUP($A339,'MG Universe'!$A$2:$R$9994,18)</f>
        <v>24.4</v>
      </c>
    </row>
    <row r="340" spans="1:18" x14ac:dyDescent="0.55000000000000004">
      <c r="A340" s="18" t="s">
        <v>584</v>
      </c>
      <c r="B340" s="19" t="str">
        <f>VLOOKUP($A340,'MG Universe'!$A$2:$R$9994,2)</f>
        <v>NVIDIA Corporation</v>
      </c>
      <c r="C340" s="19" t="str">
        <f>VLOOKUP($A340,'MG Universe'!$A$2:$R$9994,3)</f>
        <v>C-</v>
      </c>
      <c r="D340" s="19" t="str">
        <f>VLOOKUP($A340,'MG Universe'!$A$2:$R$9994,4)</f>
        <v>E</v>
      </c>
      <c r="E340" s="19" t="str">
        <f>VLOOKUP($A340,'MG Universe'!$A$2:$R$9994,5)</f>
        <v>O</v>
      </c>
      <c r="F340" s="20" t="str">
        <f>VLOOKUP($A340,'MG Universe'!$A$2:$R$9994,6)</f>
        <v>EO</v>
      </c>
      <c r="G340" s="103">
        <f>VLOOKUP($A340,'MG Universe'!$A$2:$R$9994,7)</f>
        <v>42321</v>
      </c>
      <c r="H340" s="22">
        <f>VLOOKUP($A340,'MG Universe'!$A$2:$R$9994,8)</f>
        <v>23.14</v>
      </c>
      <c r="I340" s="22">
        <f>VLOOKUP($A340,'MG Universe'!$A$2:$R$9994,9)</f>
        <v>32.94</v>
      </c>
      <c r="J340" s="23">
        <f>VLOOKUP($A340,'MG Universe'!$A$2:$R$9994,10)</f>
        <v>1.4235</v>
      </c>
      <c r="K340" s="105">
        <f>VLOOKUP($A340,'MG Universe'!$A$2:$R$9994,11)</f>
        <v>40.67</v>
      </c>
      <c r="L340" s="23">
        <f>VLOOKUP($A340,'MG Universe'!$A$2:$R$9994,12)</f>
        <v>1.4E-2</v>
      </c>
      <c r="M340" s="106">
        <f>VLOOKUP($A340,'MG Universe'!$A$2:$R$9994,13)</f>
        <v>1.3</v>
      </c>
      <c r="N340" s="107">
        <f>VLOOKUP($A340,'MG Universe'!$A$2:$R$9994,14)</f>
        <v>6.82</v>
      </c>
      <c r="O340" s="22">
        <f>VLOOKUP($A340,'MG Universe'!$A$2:$R$9994,15)</f>
        <v>5.8</v>
      </c>
      <c r="P340" s="23">
        <f>VLOOKUP($A340,'MG Universe'!$A$2:$R$9994,16)</f>
        <v>0.1608</v>
      </c>
      <c r="Q340" s="109">
        <f>VLOOKUP($A340,'MG Universe'!$A$2:$R$9994,17)</f>
        <v>4</v>
      </c>
      <c r="R340" s="22">
        <f>VLOOKUP($A340,'MG Universe'!$A$2:$R$9994,18)</f>
        <v>10.029999999999999</v>
      </c>
    </row>
    <row r="341" spans="1:18" x14ac:dyDescent="0.55000000000000004">
      <c r="A341" s="18" t="s">
        <v>952</v>
      </c>
      <c r="B341" s="19" t="str">
        <f>VLOOKUP($A341,'MG Universe'!$A$2:$R$9994,2)</f>
        <v>Newell Rubbermaid Inc.</v>
      </c>
      <c r="C341" s="19" t="str">
        <f>VLOOKUP($A341,'MG Universe'!$A$2:$R$9994,3)</f>
        <v>D+</v>
      </c>
      <c r="D341" s="19" t="str">
        <f>VLOOKUP($A341,'MG Universe'!$A$2:$R$9994,4)</f>
        <v>S</v>
      </c>
      <c r="E341" s="19" t="str">
        <f>VLOOKUP($A341,'MG Universe'!$A$2:$R$9994,5)</f>
        <v>U</v>
      </c>
      <c r="F341" s="20" t="str">
        <f>VLOOKUP($A341,'MG Universe'!$A$2:$R$9994,6)</f>
        <v>SU</v>
      </c>
      <c r="G341" s="103">
        <f>VLOOKUP($A341,'MG Universe'!$A$2:$R$9994,7)</f>
        <v>42298</v>
      </c>
      <c r="H341" s="22">
        <f>VLOOKUP($A341,'MG Universe'!$A$2:$R$9994,8)</f>
        <v>58.52</v>
      </c>
      <c r="I341" s="22">
        <f>VLOOKUP($A341,'MG Universe'!$A$2:$R$9994,9)</f>
        <v>40.31</v>
      </c>
      <c r="J341" s="23">
        <f>VLOOKUP($A341,'MG Universe'!$A$2:$R$9994,10)</f>
        <v>0.68879999999999997</v>
      </c>
      <c r="K341" s="105">
        <f>VLOOKUP($A341,'MG Universe'!$A$2:$R$9994,11)</f>
        <v>26.52</v>
      </c>
      <c r="L341" s="23">
        <f>VLOOKUP($A341,'MG Universe'!$A$2:$R$9994,12)</f>
        <v>1.89E-2</v>
      </c>
      <c r="M341" s="106">
        <f>VLOOKUP($A341,'MG Universe'!$A$2:$R$9994,13)</f>
        <v>1.3</v>
      </c>
      <c r="N341" s="107">
        <f>VLOOKUP($A341,'MG Universe'!$A$2:$R$9994,14)</f>
        <v>1.19</v>
      </c>
      <c r="O341" s="22">
        <f>VLOOKUP($A341,'MG Universe'!$A$2:$R$9994,15)</f>
        <v>-8.93</v>
      </c>
      <c r="P341" s="23">
        <f>VLOOKUP($A341,'MG Universe'!$A$2:$R$9994,16)</f>
        <v>9.01E-2</v>
      </c>
      <c r="Q341" s="109">
        <f>VLOOKUP($A341,'MG Universe'!$A$2:$R$9994,17)</f>
        <v>5</v>
      </c>
      <c r="R341" s="22">
        <f>VLOOKUP($A341,'MG Universe'!$A$2:$R$9994,18)</f>
        <v>16.73</v>
      </c>
    </row>
    <row r="342" spans="1:18" x14ac:dyDescent="0.55000000000000004">
      <c r="A342" s="18" t="s">
        <v>954</v>
      </c>
      <c r="B342" s="19" t="str">
        <f>VLOOKUP($A342,'MG Universe'!$A$2:$R$9994,2)</f>
        <v>News Corp</v>
      </c>
      <c r="C342" s="19" t="str">
        <f>VLOOKUP($A342,'MG Universe'!$A$2:$R$9994,3)</f>
        <v>D+</v>
      </c>
      <c r="D342" s="19" t="str">
        <f>VLOOKUP($A342,'MG Universe'!$A$2:$R$9994,4)</f>
        <v>S</v>
      </c>
      <c r="E342" s="19" t="str">
        <f>VLOOKUP($A342,'MG Universe'!$A$2:$R$9994,5)</f>
        <v>O</v>
      </c>
      <c r="F342" s="20" t="str">
        <f>VLOOKUP($A342,'MG Universe'!$A$2:$R$9994,6)</f>
        <v>SO</v>
      </c>
      <c r="G342" s="103">
        <f>VLOOKUP($A342,'MG Universe'!$A$2:$R$9994,7)</f>
        <v>42312</v>
      </c>
      <c r="H342" s="22">
        <f>VLOOKUP($A342,'MG Universe'!$A$2:$R$9994,8)</f>
        <v>1.67</v>
      </c>
      <c r="I342" s="22">
        <f>VLOOKUP($A342,'MG Universe'!$A$2:$R$9994,9)</f>
        <v>10.89</v>
      </c>
      <c r="J342" s="23">
        <f>VLOOKUP($A342,'MG Universe'!$A$2:$R$9994,10)</f>
        <v>6.5209999999999999</v>
      </c>
      <c r="K342" s="105">
        <f>VLOOKUP($A342,'MG Universe'!$A$2:$R$9994,11)</f>
        <v>272.25</v>
      </c>
      <c r="L342" s="23">
        <f>VLOOKUP($A342,'MG Universe'!$A$2:$R$9994,12)</f>
        <v>1.84E-2</v>
      </c>
      <c r="M342" s="106" t="e">
        <f>VLOOKUP($A342,'MG Universe'!$A$2:$R$9994,13)</f>
        <v>#N/A</v>
      </c>
      <c r="N342" s="107">
        <f>VLOOKUP($A342,'MG Universe'!$A$2:$R$9994,14)</f>
        <v>1.84</v>
      </c>
      <c r="O342" s="22">
        <f>VLOOKUP($A342,'MG Universe'!$A$2:$R$9994,15)</f>
        <v>1.42</v>
      </c>
      <c r="P342" s="23">
        <f>VLOOKUP($A342,'MG Universe'!$A$2:$R$9994,16)</f>
        <v>1.3188</v>
      </c>
      <c r="Q342" s="109">
        <f>VLOOKUP($A342,'MG Universe'!$A$2:$R$9994,17)</f>
        <v>0</v>
      </c>
      <c r="R342" s="22">
        <f>VLOOKUP($A342,'MG Universe'!$A$2:$R$9994,18)</f>
        <v>14.58</v>
      </c>
    </row>
    <row r="343" spans="1:18" x14ac:dyDescent="0.55000000000000004">
      <c r="A343" s="18" t="s">
        <v>80</v>
      </c>
      <c r="B343" s="19" t="str">
        <f>VLOOKUP($A343,'MG Universe'!$A$2:$R$9994,2)</f>
        <v>Realty Income Corp</v>
      </c>
      <c r="C343" s="19" t="str">
        <f>VLOOKUP($A343,'MG Universe'!$A$2:$R$9994,3)</f>
        <v>D</v>
      </c>
      <c r="D343" s="19" t="str">
        <f>VLOOKUP($A343,'MG Universe'!$A$2:$R$9994,4)</f>
        <v>S</v>
      </c>
      <c r="E343" s="19" t="str">
        <f>VLOOKUP($A343,'MG Universe'!$A$2:$R$9994,5)</f>
        <v>O</v>
      </c>
      <c r="F343" s="20" t="str">
        <f>VLOOKUP($A343,'MG Universe'!$A$2:$R$9994,6)</f>
        <v>SO</v>
      </c>
      <c r="G343" s="103">
        <f>VLOOKUP($A343,'MG Universe'!$A$2:$R$9994,7)</f>
        <v>41999</v>
      </c>
      <c r="H343" s="22">
        <f>VLOOKUP($A343,'MG Universe'!$A$2:$R$9994,8)</f>
        <v>33.549999999999997</v>
      </c>
      <c r="I343" s="22">
        <f>VLOOKUP($A343,'MG Universe'!$A$2:$R$9994,9)</f>
        <v>59.06</v>
      </c>
      <c r="J343" s="23">
        <f>VLOOKUP($A343,'MG Universe'!$A$2:$R$9994,10)</f>
        <v>1.7604</v>
      </c>
      <c r="K343" s="105">
        <f>VLOOKUP($A343,'MG Universe'!$A$2:$R$9994,11)</f>
        <v>38.6</v>
      </c>
      <c r="L343" s="23">
        <f>VLOOKUP($A343,'MG Universe'!$A$2:$R$9994,12)</f>
        <v>4.0300000000000002E-2</v>
      </c>
      <c r="M343" s="106">
        <f>VLOOKUP($A343,'MG Universe'!$A$2:$R$9994,13)</f>
        <v>0.3</v>
      </c>
      <c r="N343" s="107">
        <f>VLOOKUP($A343,'MG Universe'!$A$2:$R$9994,14)</f>
        <v>0.53</v>
      </c>
      <c r="O343" s="22">
        <f>VLOOKUP($A343,'MG Universe'!$A$2:$R$9994,15)</f>
        <v>-23.91</v>
      </c>
      <c r="P343" s="23">
        <f>VLOOKUP($A343,'MG Universe'!$A$2:$R$9994,16)</f>
        <v>0.15049999999999999</v>
      </c>
      <c r="Q343" s="109">
        <f>VLOOKUP($A343,'MG Universe'!$A$2:$R$9994,17)</f>
        <v>0</v>
      </c>
      <c r="R343" s="22">
        <f>VLOOKUP($A343,'MG Universe'!$A$2:$R$9994,18)</f>
        <v>0</v>
      </c>
    </row>
    <row r="344" spans="1:18" x14ac:dyDescent="0.55000000000000004">
      <c r="A344" s="18" t="s">
        <v>1113</v>
      </c>
      <c r="B344" s="19" t="str">
        <f>VLOOKUP($A344,'MG Universe'!$A$2:$R$9994,2)</f>
        <v>Owens-Illinois Inc</v>
      </c>
      <c r="C344" s="19" t="str">
        <f>VLOOKUP($A344,'MG Universe'!$A$2:$R$9994,3)</f>
        <v>F</v>
      </c>
      <c r="D344" s="19" t="str">
        <f>VLOOKUP($A344,'MG Universe'!$A$2:$R$9994,4)</f>
        <v>S</v>
      </c>
      <c r="E344" s="19" t="str">
        <f>VLOOKUP($A344,'MG Universe'!$A$2:$R$9994,5)</f>
        <v>O</v>
      </c>
      <c r="F344" s="20" t="str">
        <f>VLOOKUP($A344,'MG Universe'!$A$2:$R$9994,6)</f>
        <v>SO</v>
      </c>
      <c r="G344" s="103">
        <f>VLOOKUP($A344,'MG Universe'!$A$2:$R$9994,7)</f>
        <v>42049</v>
      </c>
      <c r="H344" s="22">
        <f>VLOOKUP($A344,'MG Universe'!$A$2:$R$9994,8)</f>
        <v>0</v>
      </c>
      <c r="I344" s="22">
        <f>VLOOKUP($A344,'MG Universe'!$A$2:$R$9994,9)</f>
        <v>14.68</v>
      </c>
      <c r="J344" s="23" t="str">
        <f>VLOOKUP($A344,'MG Universe'!$A$2:$R$9994,10)</f>
        <v>N/A</v>
      </c>
      <c r="K344" s="105">
        <f>VLOOKUP($A344,'MG Universe'!$A$2:$R$9994,11)</f>
        <v>61.17</v>
      </c>
      <c r="L344" s="23" t="str">
        <f>VLOOKUP($A344,'MG Universe'!$A$2:$R$9994,12)</f>
        <v>N/A</v>
      </c>
      <c r="M344" s="106">
        <f>VLOOKUP($A344,'MG Universe'!$A$2:$R$9994,13)</f>
        <v>2.1</v>
      </c>
      <c r="N344" s="107">
        <f>VLOOKUP($A344,'MG Universe'!$A$2:$R$9994,14)</f>
        <v>1.02</v>
      </c>
      <c r="O344" s="22">
        <f>VLOOKUP($A344,'MG Universe'!$A$2:$R$9994,15)</f>
        <v>-26.14</v>
      </c>
      <c r="P344" s="23">
        <f>VLOOKUP($A344,'MG Universe'!$A$2:$R$9994,16)</f>
        <v>0.26329999999999998</v>
      </c>
      <c r="Q344" s="109">
        <f>VLOOKUP($A344,'MG Universe'!$A$2:$R$9994,17)</f>
        <v>0</v>
      </c>
      <c r="R344" s="22">
        <f>VLOOKUP($A344,'MG Universe'!$A$2:$R$9994,18)</f>
        <v>0</v>
      </c>
    </row>
    <row r="345" spans="1:18" x14ac:dyDescent="0.55000000000000004">
      <c r="A345" s="18" t="s">
        <v>956</v>
      </c>
      <c r="B345" s="19" t="str">
        <f>VLOOKUP($A345,'MG Universe'!$A$2:$R$9994,2)</f>
        <v>ONEOK, Inc.</v>
      </c>
      <c r="C345" s="19" t="str">
        <f>VLOOKUP($A345,'MG Universe'!$A$2:$R$9994,3)</f>
        <v>D+</v>
      </c>
      <c r="D345" s="19" t="str">
        <f>VLOOKUP($A345,'MG Universe'!$A$2:$R$9994,4)</f>
        <v>S</v>
      </c>
      <c r="E345" s="19" t="str">
        <f>VLOOKUP($A345,'MG Universe'!$A$2:$R$9994,5)</f>
        <v>O</v>
      </c>
      <c r="F345" s="20" t="str">
        <f>VLOOKUP($A345,'MG Universe'!$A$2:$R$9994,6)</f>
        <v>SO</v>
      </c>
      <c r="G345" s="103">
        <f>VLOOKUP($A345,'MG Universe'!$A$2:$R$9994,7)</f>
        <v>42062</v>
      </c>
      <c r="H345" s="22">
        <f>VLOOKUP($A345,'MG Universe'!$A$2:$R$9994,8)</f>
        <v>13.77</v>
      </c>
      <c r="I345" s="22">
        <f>VLOOKUP($A345,'MG Universe'!$A$2:$R$9994,9)</f>
        <v>25.57</v>
      </c>
      <c r="J345" s="23">
        <f>VLOOKUP($A345,'MG Universe'!$A$2:$R$9994,10)</f>
        <v>1.8569</v>
      </c>
      <c r="K345" s="105">
        <f>VLOOKUP($A345,'MG Universe'!$A$2:$R$9994,11)</f>
        <v>17.05</v>
      </c>
      <c r="L345" s="23">
        <f>VLOOKUP($A345,'MG Universe'!$A$2:$R$9994,12)</f>
        <v>9.6199999999999994E-2</v>
      </c>
      <c r="M345" s="106">
        <f>VLOOKUP($A345,'MG Universe'!$A$2:$R$9994,13)</f>
        <v>1</v>
      </c>
      <c r="N345" s="107">
        <f>VLOOKUP($A345,'MG Universe'!$A$2:$R$9994,14)</f>
        <v>0.55000000000000004</v>
      </c>
      <c r="O345" s="22">
        <f>VLOOKUP($A345,'MG Universe'!$A$2:$R$9994,15)</f>
        <v>-63.74</v>
      </c>
      <c r="P345" s="23">
        <f>VLOOKUP($A345,'MG Universe'!$A$2:$R$9994,16)</f>
        <v>4.2700000000000002E-2</v>
      </c>
      <c r="Q345" s="109">
        <f>VLOOKUP($A345,'MG Universe'!$A$2:$R$9994,17)</f>
        <v>0</v>
      </c>
      <c r="R345" s="22">
        <f>VLOOKUP($A345,'MG Universe'!$A$2:$R$9994,18)</f>
        <v>0</v>
      </c>
    </row>
    <row r="346" spans="1:18" x14ac:dyDescent="0.55000000000000004">
      <c r="A346" s="18" t="s">
        <v>960</v>
      </c>
      <c r="B346" s="19" t="str">
        <f>VLOOKUP($A346,'MG Universe'!$A$2:$R$9994,2)</f>
        <v>Omnicom Group Inc.</v>
      </c>
      <c r="C346" s="19" t="str">
        <f>VLOOKUP($A346,'MG Universe'!$A$2:$R$9994,3)</f>
        <v>D+</v>
      </c>
      <c r="D346" s="19" t="str">
        <f>VLOOKUP($A346,'MG Universe'!$A$2:$R$9994,4)</f>
        <v>S</v>
      </c>
      <c r="E346" s="19" t="str">
        <f>VLOOKUP($A346,'MG Universe'!$A$2:$R$9994,5)</f>
        <v>F</v>
      </c>
      <c r="F346" s="20" t="str">
        <f>VLOOKUP($A346,'MG Universe'!$A$2:$R$9994,6)</f>
        <v>SF</v>
      </c>
      <c r="G346" s="103">
        <f>VLOOKUP($A346,'MG Universe'!$A$2:$R$9994,7)</f>
        <v>42090</v>
      </c>
      <c r="H346" s="22">
        <f>VLOOKUP($A346,'MG Universe'!$A$2:$R$9994,8)</f>
        <v>72.150000000000006</v>
      </c>
      <c r="I346" s="22">
        <f>VLOOKUP($A346,'MG Universe'!$A$2:$R$9994,9)</f>
        <v>78.41</v>
      </c>
      <c r="J346" s="23">
        <f>VLOOKUP($A346,'MG Universe'!$A$2:$R$9994,10)</f>
        <v>1.0868</v>
      </c>
      <c r="K346" s="105">
        <f>VLOOKUP($A346,'MG Universe'!$A$2:$R$9994,11)</f>
        <v>20.91</v>
      </c>
      <c r="L346" s="23">
        <f>VLOOKUP($A346,'MG Universe'!$A$2:$R$9994,12)</f>
        <v>2.5499999999999998E-2</v>
      </c>
      <c r="M346" s="106">
        <f>VLOOKUP($A346,'MG Universe'!$A$2:$R$9994,13)</f>
        <v>1.4</v>
      </c>
      <c r="N346" s="107">
        <f>VLOOKUP($A346,'MG Universe'!$A$2:$R$9994,14)</f>
        <v>0.93</v>
      </c>
      <c r="O346" s="22">
        <f>VLOOKUP($A346,'MG Universe'!$A$2:$R$9994,15)</f>
        <v>-30.16</v>
      </c>
      <c r="P346" s="23">
        <f>VLOOKUP($A346,'MG Universe'!$A$2:$R$9994,16)</f>
        <v>6.2E-2</v>
      </c>
      <c r="Q346" s="109">
        <f>VLOOKUP($A346,'MG Universe'!$A$2:$R$9994,17)</f>
        <v>0</v>
      </c>
      <c r="R346" s="22">
        <f>VLOOKUP($A346,'MG Universe'!$A$2:$R$9994,18)</f>
        <v>0</v>
      </c>
    </row>
    <row r="347" spans="1:18" x14ac:dyDescent="0.55000000000000004">
      <c r="A347" s="18" t="s">
        <v>686</v>
      </c>
      <c r="B347" s="19" t="str">
        <f>VLOOKUP($A347,'MG Universe'!$A$2:$R$9994,2)</f>
        <v>Oracle Corporation</v>
      </c>
      <c r="C347" s="19" t="str">
        <f>VLOOKUP($A347,'MG Universe'!$A$2:$R$9994,3)</f>
        <v>C+</v>
      </c>
      <c r="D347" s="19" t="str">
        <f>VLOOKUP($A347,'MG Universe'!$A$2:$R$9994,4)</f>
        <v>E</v>
      </c>
      <c r="E347" s="19" t="str">
        <f>VLOOKUP($A347,'MG Universe'!$A$2:$R$9994,5)</f>
        <v>F</v>
      </c>
      <c r="F347" s="20" t="str">
        <f>VLOOKUP($A347,'MG Universe'!$A$2:$R$9994,6)</f>
        <v>EF</v>
      </c>
      <c r="G347" s="103">
        <f>VLOOKUP($A347,'MG Universe'!$A$2:$R$9994,7)</f>
        <v>42375</v>
      </c>
      <c r="H347" s="22">
        <f>VLOOKUP($A347,'MG Universe'!$A$2:$R$9994,8)</f>
        <v>49.89</v>
      </c>
      <c r="I347" s="22">
        <f>VLOOKUP($A347,'MG Universe'!$A$2:$R$9994,9)</f>
        <v>37.770000000000003</v>
      </c>
      <c r="J347" s="23">
        <f>VLOOKUP($A347,'MG Universe'!$A$2:$R$9994,10)</f>
        <v>0.7571</v>
      </c>
      <c r="K347" s="105">
        <f>VLOOKUP($A347,'MG Universe'!$A$2:$R$9994,11)</f>
        <v>16.71</v>
      </c>
      <c r="L347" s="23">
        <f>VLOOKUP($A347,'MG Universe'!$A$2:$R$9994,12)</f>
        <v>1.5900000000000001E-2</v>
      </c>
      <c r="M347" s="106">
        <f>VLOOKUP($A347,'MG Universe'!$A$2:$R$9994,13)</f>
        <v>1.1000000000000001</v>
      </c>
      <c r="N347" s="107">
        <f>VLOOKUP($A347,'MG Universe'!$A$2:$R$9994,14)</f>
        <v>4.26</v>
      </c>
      <c r="O347" s="22">
        <f>VLOOKUP($A347,'MG Universe'!$A$2:$R$9994,15)</f>
        <v>-0.45</v>
      </c>
      <c r="P347" s="23">
        <f>VLOOKUP($A347,'MG Universe'!$A$2:$R$9994,16)</f>
        <v>4.1099999999999998E-2</v>
      </c>
      <c r="Q347" s="109">
        <f>VLOOKUP($A347,'MG Universe'!$A$2:$R$9994,17)</f>
        <v>3</v>
      </c>
      <c r="R347" s="22">
        <f>VLOOKUP($A347,'MG Universe'!$A$2:$R$9994,18)</f>
        <v>23.71</v>
      </c>
    </row>
    <row r="348" spans="1:18" x14ac:dyDescent="0.55000000000000004">
      <c r="A348" s="18" t="s">
        <v>1115</v>
      </c>
      <c r="B348" s="19" t="str">
        <f>VLOOKUP($A348,'MG Universe'!$A$2:$R$9994,2)</f>
        <v>O'Reilly Automotive Inc</v>
      </c>
      <c r="C348" s="19" t="str">
        <f>VLOOKUP($A348,'MG Universe'!$A$2:$R$9994,3)</f>
        <v>F</v>
      </c>
      <c r="D348" s="19" t="str">
        <f>VLOOKUP($A348,'MG Universe'!$A$2:$R$9994,4)</f>
        <v>S</v>
      </c>
      <c r="E348" s="19" t="str">
        <f>VLOOKUP($A348,'MG Universe'!$A$2:$R$9994,5)</f>
        <v>O</v>
      </c>
      <c r="F348" s="20" t="str">
        <f>VLOOKUP($A348,'MG Universe'!$A$2:$R$9994,6)</f>
        <v>SO</v>
      </c>
      <c r="G348" s="103">
        <f>VLOOKUP($A348,'MG Universe'!$A$2:$R$9994,7)</f>
        <v>42101</v>
      </c>
      <c r="H348" s="22">
        <f>VLOOKUP($A348,'MG Universe'!$A$2:$R$9994,8)</f>
        <v>219.3</v>
      </c>
      <c r="I348" s="22">
        <f>VLOOKUP($A348,'MG Universe'!$A$2:$R$9994,9)</f>
        <v>269.55</v>
      </c>
      <c r="J348" s="23">
        <f>VLOOKUP($A348,'MG Universe'!$A$2:$R$9994,10)</f>
        <v>1.2291000000000001</v>
      </c>
      <c r="K348" s="105">
        <f>VLOOKUP($A348,'MG Universe'!$A$2:$R$9994,11)</f>
        <v>47.29</v>
      </c>
      <c r="L348" s="23" t="str">
        <f>VLOOKUP($A348,'MG Universe'!$A$2:$R$9994,12)</f>
        <v>N/A</v>
      </c>
      <c r="M348" s="106">
        <f>VLOOKUP($A348,'MG Universe'!$A$2:$R$9994,13)</f>
        <v>0.6</v>
      </c>
      <c r="N348" s="107">
        <f>VLOOKUP($A348,'MG Universe'!$A$2:$R$9994,14)</f>
        <v>1.08</v>
      </c>
      <c r="O348" s="22">
        <f>VLOOKUP($A348,'MG Universe'!$A$2:$R$9994,15)</f>
        <v>-14.09</v>
      </c>
      <c r="P348" s="23">
        <f>VLOOKUP($A348,'MG Universe'!$A$2:$R$9994,16)</f>
        <v>0.19389999999999999</v>
      </c>
      <c r="Q348" s="109">
        <f>VLOOKUP($A348,'MG Universe'!$A$2:$R$9994,17)</f>
        <v>0</v>
      </c>
      <c r="R348" s="22">
        <f>VLOOKUP($A348,'MG Universe'!$A$2:$R$9994,18)</f>
        <v>0</v>
      </c>
    </row>
    <row r="349" spans="1:18" x14ac:dyDescent="0.55000000000000004">
      <c r="A349" s="18" t="s">
        <v>791</v>
      </c>
      <c r="B349" s="19" t="str">
        <f>VLOOKUP($A349,'MG Universe'!$A$2:$R$9994,2)</f>
        <v>Occidental Petroleum Corporation</v>
      </c>
      <c r="C349" s="19" t="str">
        <f>VLOOKUP($A349,'MG Universe'!$A$2:$R$9994,3)</f>
        <v>D</v>
      </c>
      <c r="D349" s="19" t="str">
        <f>VLOOKUP($A349,'MG Universe'!$A$2:$R$9994,4)</f>
        <v>S</v>
      </c>
      <c r="E349" s="19" t="str">
        <f>VLOOKUP($A349,'MG Universe'!$A$2:$R$9994,5)</f>
        <v>O</v>
      </c>
      <c r="F349" s="20" t="str">
        <f>VLOOKUP($A349,'MG Universe'!$A$2:$R$9994,6)</f>
        <v>SO</v>
      </c>
      <c r="G349" s="103">
        <f>VLOOKUP($A349,'MG Universe'!$A$2:$R$9994,7)</f>
        <v>42166</v>
      </c>
      <c r="H349" s="22">
        <f>VLOOKUP($A349,'MG Universe'!$A$2:$R$9994,8)</f>
        <v>0</v>
      </c>
      <c r="I349" s="22">
        <f>VLOOKUP($A349,'MG Universe'!$A$2:$R$9994,9)</f>
        <v>71.61</v>
      </c>
      <c r="J349" s="23" t="str">
        <f>VLOOKUP($A349,'MG Universe'!$A$2:$R$9994,10)</f>
        <v>N/A</v>
      </c>
      <c r="K349" s="105">
        <f>VLOOKUP($A349,'MG Universe'!$A$2:$R$9994,11)</f>
        <v>22.59</v>
      </c>
      <c r="L349" s="23">
        <f>VLOOKUP($A349,'MG Universe'!$A$2:$R$9994,12)</f>
        <v>4.19E-2</v>
      </c>
      <c r="M349" s="106">
        <f>VLOOKUP($A349,'MG Universe'!$A$2:$R$9994,13)</f>
        <v>1.5</v>
      </c>
      <c r="N349" s="107">
        <f>VLOOKUP($A349,'MG Universe'!$A$2:$R$9994,14)</f>
        <v>1.51</v>
      </c>
      <c r="O349" s="22">
        <f>VLOOKUP($A349,'MG Universe'!$A$2:$R$9994,15)</f>
        <v>-11.42</v>
      </c>
      <c r="P349" s="23">
        <f>VLOOKUP($A349,'MG Universe'!$A$2:$R$9994,16)</f>
        <v>7.0400000000000004E-2</v>
      </c>
      <c r="Q349" s="109">
        <f>VLOOKUP($A349,'MG Universe'!$A$2:$R$9994,17)</f>
        <v>0</v>
      </c>
      <c r="R349" s="22">
        <f>VLOOKUP($A349,'MG Universe'!$A$2:$R$9994,18)</f>
        <v>0</v>
      </c>
    </row>
    <row r="350" spans="1:18" x14ac:dyDescent="0.55000000000000004">
      <c r="A350" s="18" t="s">
        <v>433</v>
      </c>
      <c r="B350" s="19" t="str">
        <f>VLOOKUP($A350,'MG Universe'!$A$2:$R$9994,2)</f>
        <v>Paychex, Inc.</v>
      </c>
      <c r="C350" s="19" t="str">
        <f>VLOOKUP($A350,'MG Universe'!$A$2:$R$9994,3)</f>
        <v>C</v>
      </c>
      <c r="D350" s="19" t="str">
        <f>VLOOKUP($A350,'MG Universe'!$A$2:$R$9994,4)</f>
        <v>E</v>
      </c>
      <c r="E350" s="19" t="str">
        <f>VLOOKUP($A350,'MG Universe'!$A$2:$R$9994,5)</f>
        <v>O</v>
      </c>
      <c r="F350" s="20" t="str">
        <f>VLOOKUP($A350,'MG Universe'!$A$2:$R$9994,6)</f>
        <v>EO</v>
      </c>
      <c r="G350" s="103">
        <f>VLOOKUP($A350,'MG Universe'!$A$2:$R$9994,7)</f>
        <v>42326</v>
      </c>
      <c r="H350" s="22">
        <f>VLOOKUP($A350,'MG Universe'!$A$2:$R$9994,8)</f>
        <v>28.85</v>
      </c>
      <c r="I350" s="22">
        <f>VLOOKUP($A350,'MG Universe'!$A$2:$R$9994,9)</f>
        <v>52.21</v>
      </c>
      <c r="J350" s="23">
        <f>VLOOKUP($A350,'MG Universe'!$A$2:$R$9994,10)</f>
        <v>1.8097000000000001</v>
      </c>
      <c r="K350" s="105">
        <f>VLOOKUP($A350,'MG Universe'!$A$2:$R$9994,11)</f>
        <v>28.85</v>
      </c>
      <c r="L350" s="23">
        <f>VLOOKUP($A350,'MG Universe'!$A$2:$R$9994,12)</f>
        <v>3.2199999999999999E-2</v>
      </c>
      <c r="M350" s="106">
        <f>VLOOKUP($A350,'MG Universe'!$A$2:$R$9994,13)</f>
        <v>0.9</v>
      </c>
      <c r="N350" s="107">
        <f>VLOOKUP($A350,'MG Universe'!$A$2:$R$9994,14)</f>
        <v>1.1299999999999999</v>
      </c>
      <c r="O350" s="22">
        <f>VLOOKUP($A350,'MG Universe'!$A$2:$R$9994,15)</f>
        <v>1.0900000000000001</v>
      </c>
      <c r="P350" s="23">
        <f>VLOOKUP($A350,'MG Universe'!$A$2:$R$9994,16)</f>
        <v>0.1017</v>
      </c>
      <c r="Q350" s="109">
        <f>VLOOKUP($A350,'MG Universe'!$A$2:$R$9994,17)</f>
        <v>3</v>
      </c>
      <c r="R350" s="22">
        <f>VLOOKUP($A350,'MG Universe'!$A$2:$R$9994,18)</f>
        <v>14.92</v>
      </c>
    </row>
    <row r="351" spans="1:18" x14ac:dyDescent="0.55000000000000004">
      <c r="A351" s="18" t="s">
        <v>57</v>
      </c>
      <c r="B351" s="19" t="str">
        <f>VLOOKUP($A351,'MG Universe'!$A$2:$R$9994,2)</f>
        <v>People's United Financial, Inc.</v>
      </c>
      <c r="C351" s="19" t="str">
        <f>VLOOKUP($A351,'MG Universe'!$A$2:$R$9994,3)</f>
        <v>A</v>
      </c>
      <c r="D351" s="19" t="str">
        <f>VLOOKUP($A351,'MG Universe'!$A$2:$R$9994,4)</f>
        <v>E</v>
      </c>
      <c r="E351" s="19" t="str">
        <f>VLOOKUP($A351,'MG Universe'!$A$2:$R$9994,5)</f>
        <v>U</v>
      </c>
      <c r="F351" s="20" t="str">
        <f>VLOOKUP($A351,'MG Universe'!$A$2:$R$9994,6)</f>
        <v>EU</v>
      </c>
      <c r="G351" s="103">
        <f>VLOOKUP($A351,'MG Universe'!$A$2:$R$9994,7)</f>
        <v>42348</v>
      </c>
      <c r="H351" s="22">
        <f>VLOOKUP($A351,'MG Universe'!$A$2:$R$9994,8)</f>
        <v>29.7</v>
      </c>
      <c r="I351" s="22">
        <f>VLOOKUP($A351,'MG Universe'!$A$2:$R$9994,9)</f>
        <v>15.29</v>
      </c>
      <c r="J351" s="23">
        <f>VLOOKUP($A351,'MG Universe'!$A$2:$R$9994,10)</f>
        <v>0.51480000000000004</v>
      </c>
      <c r="K351" s="105">
        <f>VLOOKUP($A351,'MG Universe'!$A$2:$R$9994,11)</f>
        <v>19.600000000000001</v>
      </c>
      <c r="L351" s="23">
        <f>VLOOKUP($A351,'MG Universe'!$A$2:$R$9994,12)</f>
        <v>4.3799999999999999E-2</v>
      </c>
      <c r="M351" s="106">
        <f>VLOOKUP($A351,'MG Universe'!$A$2:$R$9994,13)</f>
        <v>0.8</v>
      </c>
      <c r="N351" s="107" t="str">
        <f>VLOOKUP($A351,'MG Universe'!$A$2:$R$9994,14)</f>
        <v>N/A</v>
      </c>
      <c r="O351" s="22" t="str">
        <f>VLOOKUP($A351,'MG Universe'!$A$2:$R$9994,15)</f>
        <v>N/A</v>
      </c>
      <c r="P351" s="23">
        <f>VLOOKUP($A351,'MG Universe'!$A$2:$R$9994,16)</f>
        <v>5.5500000000000001E-2</v>
      </c>
      <c r="Q351" s="109">
        <f>VLOOKUP($A351,'MG Universe'!$A$2:$R$9994,17)</f>
        <v>20</v>
      </c>
      <c r="R351" s="22">
        <f>VLOOKUP($A351,'MG Universe'!$A$2:$R$9994,18)</f>
        <v>16.989999999999998</v>
      </c>
    </row>
    <row r="352" spans="1:18" x14ac:dyDescent="0.55000000000000004">
      <c r="A352" s="18" t="s">
        <v>962</v>
      </c>
      <c r="B352" s="19" t="str">
        <f>VLOOKUP($A352,'MG Universe'!$A$2:$R$9994,2)</f>
        <v>Pitney Bowes Inc.</v>
      </c>
      <c r="C352" s="19" t="str">
        <f>VLOOKUP($A352,'MG Universe'!$A$2:$R$9994,3)</f>
        <v>D+</v>
      </c>
      <c r="D352" s="19" t="str">
        <f>VLOOKUP($A352,'MG Universe'!$A$2:$R$9994,4)</f>
        <v>S</v>
      </c>
      <c r="E352" s="19" t="str">
        <f>VLOOKUP($A352,'MG Universe'!$A$2:$R$9994,5)</f>
        <v>O</v>
      </c>
      <c r="F352" s="20" t="str">
        <f>VLOOKUP($A352,'MG Universe'!$A$2:$R$9994,6)</f>
        <v>SO</v>
      </c>
      <c r="G352" s="103">
        <f>VLOOKUP($A352,'MG Universe'!$A$2:$R$9994,7)</f>
        <v>42064</v>
      </c>
      <c r="H352" s="22">
        <f>VLOOKUP($A352,'MG Universe'!$A$2:$R$9994,8)</f>
        <v>14.53</v>
      </c>
      <c r="I352" s="22">
        <f>VLOOKUP($A352,'MG Universe'!$A$2:$R$9994,9)</f>
        <v>18.75</v>
      </c>
      <c r="J352" s="23">
        <f>VLOOKUP($A352,'MG Universe'!$A$2:$R$9994,10)</f>
        <v>1.2904</v>
      </c>
      <c r="K352" s="105">
        <f>VLOOKUP($A352,'MG Universe'!$A$2:$R$9994,11)</f>
        <v>11.16</v>
      </c>
      <c r="L352" s="23">
        <f>VLOOKUP($A352,'MG Universe'!$A$2:$R$9994,12)</f>
        <v>0.04</v>
      </c>
      <c r="M352" s="106">
        <f>VLOOKUP($A352,'MG Universe'!$A$2:$R$9994,13)</f>
        <v>1.2</v>
      </c>
      <c r="N352" s="107">
        <f>VLOOKUP($A352,'MG Universe'!$A$2:$R$9994,14)</f>
        <v>1.17</v>
      </c>
      <c r="O352" s="22">
        <f>VLOOKUP($A352,'MG Universe'!$A$2:$R$9994,15)</f>
        <v>-17.88</v>
      </c>
      <c r="P352" s="23">
        <f>VLOOKUP($A352,'MG Universe'!$A$2:$R$9994,16)</f>
        <v>1.3299999999999999E-2</v>
      </c>
      <c r="Q352" s="109">
        <f>VLOOKUP($A352,'MG Universe'!$A$2:$R$9994,17)</f>
        <v>0</v>
      </c>
      <c r="R352" s="22">
        <f>VLOOKUP($A352,'MG Universe'!$A$2:$R$9994,18)</f>
        <v>0</v>
      </c>
    </row>
    <row r="353" spans="1:18" x14ac:dyDescent="0.55000000000000004">
      <c r="A353" s="18" t="s">
        <v>195</v>
      </c>
      <c r="B353" s="19" t="str">
        <f>VLOOKUP($A353,'MG Universe'!$A$2:$R$9994,2)</f>
        <v>PACCAR Inc</v>
      </c>
      <c r="C353" s="19" t="str">
        <f>VLOOKUP($A353,'MG Universe'!$A$2:$R$9994,3)</f>
        <v>B</v>
      </c>
      <c r="D353" s="19" t="str">
        <f>VLOOKUP($A353,'MG Universe'!$A$2:$R$9994,4)</f>
        <v>D</v>
      </c>
      <c r="E353" s="19" t="str">
        <f>VLOOKUP($A353,'MG Universe'!$A$2:$R$9994,5)</f>
        <v>U</v>
      </c>
      <c r="F353" s="20" t="str">
        <f>VLOOKUP($A353,'MG Universe'!$A$2:$R$9994,6)</f>
        <v>DU</v>
      </c>
      <c r="G353" s="103">
        <f>VLOOKUP($A353,'MG Universe'!$A$2:$R$9994,7)</f>
        <v>42396</v>
      </c>
      <c r="H353" s="22">
        <f>VLOOKUP($A353,'MG Universe'!$A$2:$R$9994,8)</f>
        <v>138.12</v>
      </c>
      <c r="I353" s="22">
        <f>VLOOKUP($A353,'MG Universe'!$A$2:$R$9994,9)</f>
        <v>52.27</v>
      </c>
      <c r="J353" s="23">
        <f>VLOOKUP($A353,'MG Universe'!$A$2:$R$9994,10)</f>
        <v>0.37840000000000001</v>
      </c>
      <c r="K353" s="105">
        <f>VLOOKUP($A353,'MG Universe'!$A$2:$R$9994,11)</f>
        <v>13.9</v>
      </c>
      <c r="L353" s="23">
        <f>VLOOKUP($A353,'MG Universe'!$A$2:$R$9994,12)</f>
        <v>1.84E-2</v>
      </c>
      <c r="M353" s="106">
        <f>VLOOKUP($A353,'MG Universe'!$A$2:$R$9994,13)</f>
        <v>1.6</v>
      </c>
      <c r="N353" s="107">
        <f>VLOOKUP($A353,'MG Universe'!$A$2:$R$9994,14)</f>
        <v>2.82</v>
      </c>
      <c r="O353" s="22">
        <f>VLOOKUP($A353,'MG Universe'!$A$2:$R$9994,15)</f>
        <v>2.88</v>
      </c>
      <c r="P353" s="23">
        <f>VLOOKUP($A353,'MG Universe'!$A$2:$R$9994,16)</f>
        <v>2.7E-2</v>
      </c>
      <c r="Q353" s="109">
        <f>VLOOKUP($A353,'MG Universe'!$A$2:$R$9994,17)</f>
        <v>5</v>
      </c>
      <c r="R353" s="22">
        <f>VLOOKUP($A353,'MG Universe'!$A$2:$R$9994,18)</f>
        <v>45.5</v>
      </c>
    </row>
    <row r="354" spans="1:18" x14ac:dyDescent="0.55000000000000004">
      <c r="A354" s="18" t="s">
        <v>793</v>
      </c>
      <c r="B354" s="19" t="str">
        <f>VLOOKUP($A354,'MG Universe'!$A$2:$R$9994,2)</f>
        <v>PG&amp;E Corporation</v>
      </c>
      <c r="C354" s="19" t="str">
        <f>VLOOKUP($A354,'MG Universe'!$A$2:$R$9994,3)</f>
        <v>D</v>
      </c>
      <c r="D354" s="19" t="str">
        <f>VLOOKUP($A354,'MG Universe'!$A$2:$R$9994,4)</f>
        <v>S</v>
      </c>
      <c r="E354" s="19" t="str">
        <f>VLOOKUP($A354,'MG Universe'!$A$2:$R$9994,5)</f>
        <v>O</v>
      </c>
      <c r="F354" s="20" t="str">
        <f>VLOOKUP($A354,'MG Universe'!$A$2:$R$9994,6)</f>
        <v>SO</v>
      </c>
      <c r="G354" s="103">
        <f>VLOOKUP($A354,'MG Universe'!$A$2:$R$9994,7)</f>
        <v>42102</v>
      </c>
      <c r="H354" s="22">
        <f>VLOOKUP($A354,'MG Universe'!$A$2:$R$9994,8)</f>
        <v>3.62</v>
      </c>
      <c r="I354" s="22">
        <f>VLOOKUP($A354,'MG Universe'!$A$2:$R$9994,9)</f>
        <v>56.22</v>
      </c>
      <c r="J354" s="23">
        <f>VLOOKUP($A354,'MG Universe'!$A$2:$R$9994,10)</f>
        <v>15.5304</v>
      </c>
      <c r="K354" s="105">
        <f>VLOOKUP($A354,'MG Universe'!$A$2:$R$9994,11)</f>
        <v>23.82</v>
      </c>
      <c r="L354" s="23">
        <f>VLOOKUP($A354,'MG Universe'!$A$2:$R$9994,12)</f>
        <v>3.2399999999999998E-2</v>
      </c>
      <c r="M354" s="106">
        <f>VLOOKUP($A354,'MG Universe'!$A$2:$R$9994,13)</f>
        <v>0.2</v>
      </c>
      <c r="N354" s="107">
        <f>VLOOKUP($A354,'MG Universe'!$A$2:$R$9994,14)</f>
        <v>1.08</v>
      </c>
      <c r="O354" s="22">
        <f>VLOOKUP($A354,'MG Universe'!$A$2:$R$9994,15)</f>
        <v>-79.81</v>
      </c>
      <c r="P354" s="23">
        <f>VLOOKUP($A354,'MG Universe'!$A$2:$R$9994,16)</f>
        <v>7.6600000000000001E-2</v>
      </c>
      <c r="Q354" s="109">
        <f>VLOOKUP($A354,'MG Universe'!$A$2:$R$9994,17)</f>
        <v>0</v>
      </c>
      <c r="R354" s="22">
        <f>VLOOKUP($A354,'MG Universe'!$A$2:$R$9994,18)</f>
        <v>0</v>
      </c>
    </row>
    <row r="355" spans="1:18" x14ac:dyDescent="0.55000000000000004">
      <c r="A355" s="18" t="s">
        <v>1163</v>
      </c>
      <c r="B355" s="19" t="str">
        <f>VLOOKUP($A355,'MG Universe'!$A$2:$R$9994,2)</f>
        <v>PG&amp;E Corporation</v>
      </c>
      <c r="C355" s="19" t="str">
        <f>VLOOKUP($A355,'MG Universe'!$A$2:$R$9994,3)</f>
        <v>D</v>
      </c>
      <c r="D355" s="19" t="str">
        <f>VLOOKUP($A355,'MG Universe'!$A$2:$R$9994,4)</f>
        <v>S</v>
      </c>
      <c r="E355" s="19" t="str">
        <f>VLOOKUP($A355,'MG Universe'!$A$2:$R$9994,5)</f>
        <v>O</v>
      </c>
      <c r="F355" s="20" t="str">
        <f>VLOOKUP($A355,'MG Universe'!$A$2:$R$9994,6)</f>
        <v>SO</v>
      </c>
      <c r="G355" s="103">
        <f>VLOOKUP($A355,'MG Universe'!$A$2:$R$9994,7)</f>
        <v>42102</v>
      </c>
      <c r="H355" s="22">
        <f>VLOOKUP($A355,'MG Universe'!$A$2:$R$9994,8)</f>
        <v>3.62</v>
      </c>
      <c r="I355" s="22">
        <f>VLOOKUP($A355,'MG Universe'!$A$2:$R$9994,9)</f>
        <v>56.22</v>
      </c>
      <c r="J355" s="23">
        <f>VLOOKUP($A355,'MG Universe'!$A$2:$R$9994,10)</f>
        <v>15.5304</v>
      </c>
      <c r="K355" s="105">
        <f>VLOOKUP($A355,'MG Universe'!$A$2:$R$9994,11)</f>
        <v>23.82</v>
      </c>
      <c r="L355" s="23">
        <f>VLOOKUP($A355,'MG Universe'!$A$2:$R$9994,12)</f>
        <v>3.2399999999999998E-2</v>
      </c>
      <c r="M355" s="106">
        <f>VLOOKUP($A355,'MG Universe'!$A$2:$R$9994,13)</f>
        <v>0.2</v>
      </c>
      <c r="N355" s="107">
        <f>VLOOKUP($A355,'MG Universe'!$A$2:$R$9994,14)</f>
        <v>1.08</v>
      </c>
      <c r="O355" s="22">
        <f>VLOOKUP($A355,'MG Universe'!$A$2:$R$9994,15)</f>
        <v>-79.81</v>
      </c>
      <c r="P355" s="23">
        <f>VLOOKUP($A355,'MG Universe'!$A$2:$R$9994,16)</f>
        <v>7.6600000000000001E-2</v>
      </c>
      <c r="Q355" s="109">
        <f>VLOOKUP($A355,'MG Universe'!$A$2:$R$9994,17)</f>
        <v>0</v>
      </c>
      <c r="R355" s="22">
        <f>VLOOKUP($A355,'MG Universe'!$A$2:$R$9994,18)</f>
        <v>0</v>
      </c>
    </row>
    <row r="356" spans="1:18" x14ac:dyDescent="0.55000000000000004">
      <c r="A356" s="18" t="s">
        <v>964</v>
      </c>
      <c r="B356" s="19" t="str">
        <f>VLOOKUP($A356,'MG Universe'!$A$2:$R$9994,2)</f>
        <v>Priceline Group Inc</v>
      </c>
      <c r="C356" s="19" t="str">
        <f>VLOOKUP($A356,'MG Universe'!$A$2:$R$9994,3)</f>
        <v>D+</v>
      </c>
      <c r="D356" s="19" t="str">
        <f>VLOOKUP($A356,'MG Universe'!$A$2:$R$9994,4)</f>
        <v>S</v>
      </c>
      <c r="E356" s="19" t="str">
        <f>VLOOKUP($A356,'MG Universe'!$A$2:$R$9994,5)</f>
        <v>F</v>
      </c>
      <c r="F356" s="20" t="str">
        <f>VLOOKUP($A356,'MG Universe'!$A$2:$R$9994,6)</f>
        <v>SF</v>
      </c>
      <c r="G356" s="103">
        <f>VLOOKUP($A356,'MG Universe'!$A$2:$R$9994,7)</f>
        <v>42145</v>
      </c>
      <c r="H356" s="22">
        <f>VLOOKUP($A356,'MG Universe'!$A$2:$R$9994,8)</f>
        <v>1587</v>
      </c>
      <c r="I356" s="22">
        <f>VLOOKUP($A356,'MG Universe'!$A$2:$R$9994,9)</f>
        <v>1301.3699999999999</v>
      </c>
      <c r="J356" s="23">
        <f>VLOOKUP($A356,'MG Universe'!$A$2:$R$9994,10)</f>
        <v>0.82</v>
      </c>
      <c r="K356" s="105">
        <f>VLOOKUP($A356,'MG Universe'!$A$2:$R$9994,11)</f>
        <v>31.57</v>
      </c>
      <c r="L356" s="23" t="str">
        <f>VLOOKUP($A356,'MG Universe'!$A$2:$R$9994,12)</f>
        <v>N/A</v>
      </c>
      <c r="M356" s="106">
        <f>VLOOKUP($A356,'MG Universe'!$A$2:$R$9994,13)</f>
        <v>1.7</v>
      </c>
      <c r="N356" s="107">
        <f>VLOOKUP($A356,'MG Universe'!$A$2:$R$9994,14)</f>
        <v>3.5</v>
      </c>
      <c r="O356" s="22">
        <f>VLOOKUP($A356,'MG Universe'!$A$2:$R$9994,15)</f>
        <v>-42.84</v>
      </c>
      <c r="P356" s="23">
        <f>VLOOKUP($A356,'MG Universe'!$A$2:$R$9994,16)</f>
        <v>0.1154</v>
      </c>
      <c r="Q356" s="109">
        <f>VLOOKUP($A356,'MG Universe'!$A$2:$R$9994,17)</f>
        <v>0</v>
      </c>
      <c r="R356" s="22">
        <f>VLOOKUP($A356,'MG Universe'!$A$2:$R$9994,18)</f>
        <v>0</v>
      </c>
    </row>
    <row r="357" spans="1:18" x14ac:dyDescent="0.55000000000000004">
      <c r="A357" s="18" t="s">
        <v>1164</v>
      </c>
      <c r="B357" s="19" t="str">
        <f>VLOOKUP($A357,'MG Universe'!$A$2:$R$9994,2)</f>
        <v>Priceline Group Inc</v>
      </c>
      <c r="C357" s="19" t="str">
        <f>VLOOKUP($A357,'MG Universe'!$A$2:$R$9994,3)</f>
        <v>D+</v>
      </c>
      <c r="D357" s="19" t="str">
        <f>VLOOKUP($A357,'MG Universe'!$A$2:$R$9994,4)</f>
        <v>S</v>
      </c>
      <c r="E357" s="19" t="str">
        <f>VLOOKUP($A357,'MG Universe'!$A$2:$R$9994,5)</f>
        <v>F</v>
      </c>
      <c r="F357" s="20" t="str">
        <f>VLOOKUP($A357,'MG Universe'!$A$2:$R$9994,6)</f>
        <v>SF</v>
      </c>
      <c r="G357" s="103">
        <f>VLOOKUP($A357,'MG Universe'!$A$2:$R$9994,7)</f>
        <v>42145</v>
      </c>
      <c r="H357" s="22">
        <f>VLOOKUP($A357,'MG Universe'!$A$2:$R$9994,8)</f>
        <v>1587</v>
      </c>
      <c r="I357" s="22">
        <f>VLOOKUP($A357,'MG Universe'!$A$2:$R$9994,9)</f>
        <v>1301.3699999999999</v>
      </c>
      <c r="J357" s="23">
        <f>VLOOKUP($A357,'MG Universe'!$A$2:$R$9994,10)</f>
        <v>0.82</v>
      </c>
      <c r="K357" s="105">
        <f>VLOOKUP($A357,'MG Universe'!$A$2:$R$9994,11)</f>
        <v>31.57</v>
      </c>
      <c r="L357" s="23" t="str">
        <f>VLOOKUP($A357,'MG Universe'!$A$2:$R$9994,12)</f>
        <v>N/A</v>
      </c>
      <c r="M357" s="106">
        <f>VLOOKUP($A357,'MG Universe'!$A$2:$R$9994,13)</f>
        <v>1.7</v>
      </c>
      <c r="N357" s="107">
        <f>VLOOKUP($A357,'MG Universe'!$A$2:$R$9994,14)</f>
        <v>3.5</v>
      </c>
      <c r="O357" s="22">
        <f>VLOOKUP($A357,'MG Universe'!$A$2:$R$9994,15)</f>
        <v>-42.84</v>
      </c>
      <c r="P357" s="23">
        <f>VLOOKUP($A357,'MG Universe'!$A$2:$R$9994,16)</f>
        <v>0.1154</v>
      </c>
      <c r="Q357" s="109">
        <f>VLOOKUP($A357,'MG Universe'!$A$2:$R$9994,17)</f>
        <v>0</v>
      </c>
      <c r="R357" s="22">
        <f>VLOOKUP($A357,'MG Universe'!$A$2:$R$9994,18)</f>
        <v>0</v>
      </c>
    </row>
    <row r="358" spans="1:18" x14ac:dyDescent="0.55000000000000004">
      <c r="A358" s="18" t="s">
        <v>688</v>
      </c>
      <c r="B358" s="19" t="str">
        <f>VLOOKUP($A358,'MG Universe'!$A$2:$R$9994,2)</f>
        <v>Patterson Companies, Inc.</v>
      </c>
      <c r="C358" s="19" t="str">
        <f>VLOOKUP($A358,'MG Universe'!$A$2:$R$9994,3)</f>
        <v>C+</v>
      </c>
      <c r="D358" s="19" t="str">
        <f>VLOOKUP($A358,'MG Universe'!$A$2:$R$9994,4)</f>
        <v>E</v>
      </c>
      <c r="E358" s="19" t="str">
        <f>VLOOKUP($A358,'MG Universe'!$A$2:$R$9994,5)</f>
        <v>O</v>
      </c>
      <c r="F358" s="20" t="str">
        <f>VLOOKUP($A358,'MG Universe'!$A$2:$R$9994,6)</f>
        <v>EO</v>
      </c>
      <c r="G358" s="103">
        <f>VLOOKUP($A358,'MG Universe'!$A$2:$R$9994,7)</f>
        <v>42416</v>
      </c>
      <c r="H358" s="22">
        <f>VLOOKUP($A358,'MG Universe'!$A$2:$R$9994,8)</f>
        <v>24.97</v>
      </c>
      <c r="I358" s="22">
        <f>VLOOKUP($A358,'MG Universe'!$A$2:$R$9994,9)</f>
        <v>43.78</v>
      </c>
      <c r="J358" s="23">
        <f>VLOOKUP($A358,'MG Universe'!$A$2:$R$9994,10)</f>
        <v>1.7533000000000001</v>
      </c>
      <c r="K358" s="105">
        <f>VLOOKUP($A358,'MG Universe'!$A$2:$R$9994,11)</f>
        <v>21.25</v>
      </c>
      <c r="L358" s="23">
        <f>VLOOKUP($A358,'MG Universe'!$A$2:$R$9994,12)</f>
        <v>2.01E-2</v>
      </c>
      <c r="M358" s="106">
        <f>VLOOKUP($A358,'MG Universe'!$A$2:$R$9994,13)</f>
        <v>0.9</v>
      </c>
      <c r="N358" s="107">
        <f>VLOOKUP($A358,'MG Universe'!$A$2:$R$9994,14)</f>
        <v>2.09</v>
      </c>
      <c r="O358" s="22">
        <f>VLOOKUP($A358,'MG Universe'!$A$2:$R$9994,15)</f>
        <v>-4.26</v>
      </c>
      <c r="P358" s="23">
        <f>VLOOKUP($A358,'MG Universe'!$A$2:$R$9994,16)</f>
        <v>6.3799999999999996E-2</v>
      </c>
      <c r="Q358" s="109">
        <f>VLOOKUP($A358,'MG Universe'!$A$2:$R$9994,17)</f>
        <v>7</v>
      </c>
      <c r="R358" s="22">
        <f>VLOOKUP($A358,'MG Universe'!$A$2:$R$9994,18)</f>
        <v>24.43</v>
      </c>
    </row>
    <row r="359" spans="1:18" x14ac:dyDescent="0.55000000000000004">
      <c r="A359" s="18" t="s">
        <v>966</v>
      </c>
      <c r="B359" s="19" t="str">
        <f>VLOOKUP($A359,'MG Universe'!$A$2:$R$9994,2)</f>
        <v>Public Service Enterprise Group Inc.</v>
      </c>
      <c r="C359" s="19" t="str">
        <f>VLOOKUP($A359,'MG Universe'!$A$2:$R$9994,3)</f>
        <v>D+</v>
      </c>
      <c r="D359" s="19" t="str">
        <f>VLOOKUP($A359,'MG Universe'!$A$2:$R$9994,4)</f>
        <v>S</v>
      </c>
      <c r="E359" s="19" t="str">
        <f>VLOOKUP($A359,'MG Universe'!$A$2:$R$9994,5)</f>
        <v>O</v>
      </c>
      <c r="F359" s="20" t="str">
        <f>VLOOKUP($A359,'MG Universe'!$A$2:$R$9994,6)</f>
        <v>SO</v>
      </c>
      <c r="G359" s="103">
        <f>VLOOKUP($A359,'MG Universe'!$A$2:$R$9994,7)</f>
        <v>42200</v>
      </c>
      <c r="H359" s="22">
        <f>VLOOKUP($A359,'MG Universe'!$A$2:$R$9994,8)</f>
        <v>18.71</v>
      </c>
      <c r="I359" s="22">
        <f>VLOOKUP($A359,'MG Universe'!$A$2:$R$9994,9)</f>
        <v>43.08</v>
      </c>
      <c r="J359" s="23">
        <f>VLOOKUP($A359,'MG Universe'!$A$2:$R$9994,10)</f>
        <v>2.3025000000000002</v>
      </c>
      <c r="K359" s="105">
        <f>VLOOKUP($A359,'MG Universe'!$A$2:$R$9994,11)</f>
        <v>15.61</v>
      </c>
      <c r="L359" s="23">
        <f>VLOOKUP($A359,'MG Universe'!$A$2:$R$9994,12)</f>
        <v>3.8100000000000002E-2</v>
      </c>
      <c r="M359" s="106">
        <f>VLOOKUP($A359,'MG Universe'!$A$2:$R$9994,13)</f>
        <v>0.1</v>
      </c>
      <c r="N359" s="107">
        <f>VLOOKUP($A359,'MG Universe'!$A$2:$R$9994,14)</f>
        <v>1.1499999999999999</v>
      </c>
      <c r="O359" s="22">
        <f>VLOOKUP($A359,'MG Universe'!$A$2:$R$9994,15)</f>
        <v>-37.619999999999997</v>
      </c>
      <c r="P359" s="23">
        <f>VLOOKUP($A359,'MG Universe'!$A$2:$R$9994,16)</f>
        <v>3.5499999999999997E-2</v>
      </c>
      <c r="Q359" s="109">
        <f>VLOOKUP($A359,'MG Universe'!$A$2:$R$9994,17)</f>
        <v>0</v>
      </c>
      <c r="R359" s="22">
        <f>VLOOKUP($A359,'MG Universe'!$A$2:$R$9994,18)</f>
        <v>0</v>
      </c>
    </row>
    <row r="360" spans="1:18" x14ac:dyDescent="0.55000000000000004">
      <c r="A360" s="18" t="s">
        <v>968</v>
      </c>
      <c r="B360" s="19" t="str">
        <f>VLOOKUP($A360,'MG Universe'!$A$2:$R$9994,2)</f>
        <v>PepsiCo, Inc.</v>
      </c>
      <c r="C360" s="19" t="str">
        <f>VLOOKUP($A360,'MG Universe'!$A$2:$R$9994,3)</f>
        <v>D+</v>
      </c>
      <c r="D360" s="19" t="str">
        <f>VLOOKUP($A360,'MG Universe'!$A$2:$R$9994,4)</f>
        <v>S</v>
      </c>
      <c r="E360" s="19" t="str">
        <f>VLOOKUP($A360,'MG Universe'!$A$2:$R$9994,5)</f>
        <v>O</v>
      </c>
      <c r="F360" s="20" t="str">
        <f>VLOOKUP($A360,'MG Universe'!$A$2:$R$9994,6)</f>
        <v>SO</v>
      </c>
      <c r="G360" s="103">
        <f>VLOOKUP($A360,'MG Universe'!$A$2:$R$9994,7)</f>
        <v>42029</v>
      </c>
      <c r="H360" s="22">
        <f>VLOOKUP($A360,'MG Universe'!$A$2:$R$9994,8)</f>
        <v>57.85</v>
      </c>
      <c r="I360" s="22">
        <f>VLOOKUP($A360,'MG Universe'!$A$2:$R$9994,9)</f>
        <v>98.33</v>
      </c>
      <c r="J360" s="23">
        <f>VLOOKUP($A360,'MG Universe'!$A$2:$R$9994,10)</f>
        <v>1.6997</v>
      </c>
      <c r="K360" s="105">
        <f>VLOOKUP($A360,'MG Universe'!$A$2:$R$9994,11)</f>
        <v>23.14</v>
      </c>
      <c r="L360" s="23">
        <f>VLOOKUP($A360,'MG Universe'!$A$2:$R$9994,12)</f>
        <v>2.86E-2</v>
      </c>
      <c r="M360" s="106">
        <f>VLOOKUP($A360,'MG Universe'!$A$2:$R$9994,13)</f>
        <v>0.5</v>
      </c>
      <c r="N360" s="107">
        <f>VLOOKUP($A360,'MG Universe'!$A$2:$R$9994,14)</f>
        <v>1.1599999999999999</v>
      </c>
      <c r="O360" s="22">
        <f>VLOOKUP($A360,'MG Universe'!$A$2:$R$9994,15)</f>
        <v>-20.2</v>
      </c>
      <c r="P360" s="23">
        <f>VLOOKUP($A360,'MG Universe'!$A$2:$R$9994,16)</f>
        <v>7.3200000000000001E-2</v>
      </c>
      <c r="Q360" s="109">
        <f>VLOOKUP($A360,'MG Universe'!$A$2:$R$9994,17)</f>
        <v>0</v>
      </c>
      <c r="R360" s="22">
        <f>VLOOKUP($A360,'MG Universe'!$A$2:$R$9994,18)</f>
        <v>0</v>
      </c>
    </row>
    <row r="361" spans="1:18" x14ac:dyDescent="0.55000000000000004">
      <c r="A361" s="18" t="s">
        <v>197</v>
      </c>
      <c r="B361" s="19" t="str">
        <f>VLOOKUP($A361,'MG Universe'!$A$2:$R$9994,2)</f>
        <v>Pfizer Inc.</v>
      </c>
      <c r="C361" s="19" t="str">
        <f>VLOOKUP($A361,'MG Universe'!$A$2:$R$9994,3)</f>
        <v>B</v>
      </c>
      <c r="D361" s="19" t="str">
        <f>VLOOKUP($A361,'MG Universe'!$A$2:$R$9994,4)</f>
        <v>E</v>
      </c>
      <c r="E361" s="19" t="str">
        <f>VLOOKUP($A361,'MG Universe'!$A$2:$R$9994,5)</f>
        <v>U</v>
      </c>
      <c r="F361" s="20" t="str">
        <f>VLOOKUP($A361,'MG Universe'!$A$2:$R$9994,6)</f>
        <v>EU</v>
      </c>
      <c r="G361" s="103">
        <f>VLOOKUP($A361,'MG Universe'!$A$2:$R$9994,7)</f>
        <v>42409</v>
      </c>
      <c r="H361" s="22">
        <f>VLOOKUP($A361,'MG Universe'!$A$2:$R$9994,8)</f>
        <v>51.99</v>
      </c>
      <c r="I361" s="22">
        <f>VLOOKUP($A361,'MG Universe'!$A$2:$R$9994,9)</f>
        <v>29.97</v>
      </c>
      <c r="J361" s="23">
        <f>VLOOKUP($A361,'MG Universe'!$A$2:$R$9994,10)</f>
        <v>0.57650000000000001</v>
      </c>
      <c r="K361" s="105">
        <f>VLOOKUP($A361,'MG Universe'!$A$2:$R$9994,11)</f>
        <v>15.69</v>
      </c>
      <c r="L361" s="23">
        <f>VLOOKUP($A361,'MG Universe'!$A$2:$R$9994,12)</f>
        <v>0.04</v>
      </c>
      <c r="M361" s="106">
        <f>VLOOKUP($A361,'MG Universe'!$A$2:$R$9994,13)</f>
        <v>0.9</v>
      </c>
      <c r="N361" s="107">
        <f>VLOOKUP($A361,'MG Universe'!$A$2:$R$9994,14)</f>
        <v>1.62</v>
      </c>
      <c r="O361" s="22">
        <f>VLOOKUP($A361,'MG Universe'!$A$2:$R$9994,15)</f>
        <v>-9.4600000000000009</v>
      </c>
      <c r="P361" s="23">
        <f>VLOOKUP($A361,'MG Universe'!$A$2:$R$9994,16)</f>
        <v>3.5999999999999997E-2</v>
      </c>
      <c r="Q361" s="109">
        <f>VLOOKUP($A361,'MG Universe'!$A$2:$R$9994,17)</f>
        <v>5</v>
      </c>
      <c r="R361" s="22">
        <f>VLOOKUP($A361,'MG Universe'!$A$2:$R$9994,18)</f>
        <v>20.11</v>
      </c>
    </row>
    <row r="362" spans="1:18" x14ac:dyDescent="0.55000000000000004">
      <c r="A362" s="18" t="s">
        <v>118</v>
      </c>
      <c r="B362" s="19" t="str">
        <f>VLOOKUP($A362,'MG Universe'!$A$2:$R$9994,2)</f>
        <v>Principal Financial Group Inc</v>
      </c>
      <c r="C362" s="19" t="str">
        <f>VLOOKUP($A362,'MG Universe'!$A$2:$R$9994,3)</f>
        <v>A-</v>
      </c>
      <c r="D362" s="19" t="str">
        <f>VLOOKUP($A362,'MG Universe'!$A$2:$R$9994,4)</f>
        <v>E</v>
      </c>
      <c r="E362" s="19" t="str">
        <f>VLOOKUP($A362,'MG Universe'!$A$2:$R$9994,5)</f>
        <v>U</v>
      </c>
      <c r="F362" s="20" t="str">
        <f>VLOOKUP($A362,'MG Universe'!$A$2:$R$9994,6)</f>
        <v>EU</v>
      </c>
      <c r="G362" s="103">
        <f>VLOOKUP($A362,'MG Universe'!$A$2:$R$9994,7)</f>
        <v>42319</v>
      </c>
      <c r="H362" s="22">
        <f>VLOOKUP($A362,'MG Universe'!$A$2:$R$9994,8)</f>
        <v>104.46</v>
      </c>
      <c r="I362" s="22">
        <f>VLOOKUP($A362,'MG Universe'!$A$2:$R$9994,9)</f>
        <v>39.47</v>
      </c>
      <c r="J362" s="23">
        <f>VLOOKUP($A362,'MG Universe'!$A$2:$R$9994,10)</f>
        <v>0.37780000000000002</v>
      </c>
      <c r="K362" s="105">
        <f>VLOOKUP($A362,'MG Universe'!$A$2:$R$9994,11)</f>
        <v>11.47</v>
      </c>
      <c r="L362" s="23">
        <f>VLOOKUP($A362,'MG Universe'!$A$2:$R$9994,12)</f>
        <v>3.85E-2</v>
      </c>
      <c r="M362" s="106">
        <f>VLOOKUP($A362,'MG Universe'!$A$2:$R$9994,13)</f>
        <v>1.7</v>
      </c>
      <c r="N362" s="107" t="str">
        <f>VLOOKUP($A362,'MG Universe'!$A$2:$R$9994,14)</f>
        <v>N/A</v>
      </c>
      <c r="O362" s="22" t="str">
        <f>VLOOKUP($A362,'MG Universe'!$A$2:$R$9994,15)</f>
        <v>N/A</v>
      </c>
      <c r="P362" s="23">
        <f>VLOOKUP($A362,'MG Universe'!$A$2:$R$9994,16)</f>
        <v>1.49E-2</v>
      </c>
      <c r="Q362" s="109">
        <f>VLOOKUP($A362,'MG Universe'!$A$2:$R$9994,17)</f>
        <v>7</v>
      </c>
      <c r="R362" s="22">
        <f>VLOOKUP($A362,'MG Universe'!$A$2:$R$9994,18)</f>
        <v>55.54</v>
      </c>
    </row>
    <row r="363" spans="1:18" x14ac:dyDescent="0.55000000000000004">
      <c r="A363" s="18" t="s">
        <v>970</v>
      </c>
      <c r="B363" s="19" t="str">
        <f>VLOOKUP($A363,'MG Universe'!$A$2:$R$9994,2)</f>
        <v>Procter &amp; Gamble Co</v>
      </c>
      <c r="C363" s="19" t="str">
        <f>VLOOKUP($A363,'MG Universe'!$A$2:$R$9994,3)</f>
        <v>D+</v>
      </c>
      <c r="D363" s="19" t="str">
        <f>VLOOKUP($A363,'MG Universe'!$A$2:$R$9994,4)</f>
        <v>S</v>
      </c>
      <c r="E363" s="19" t="str">
        <f>VLOOKUP($A363,'MG Universe'!$A$2:$R$9994,5)</f>
        <v>O</v>
      </c>
      <c r="F363" s="20" t="str">
        <f>VLOOKUP($A363,'MG Universe'!$A$2:$R$9994,6)</f>
        <v>SO</v>
      </c>
      <c r="G363" s="103">
        <f>VLOOKUP($A363,'MG Universe'!$A$2:$R$9994,7)</f>
        <v>42051</v>
      </c>
      <c r="H363" s="22">
        <f>VLOOKUP($A363,'MG Universe'!$A$2:$R$9994,8)</f>
        <v>31.58</v>
      </c>
      <c r="I363" s="22">
        <f>VLOOKUP($A363,'MG Universe'!$A$2:$R$9994,9)</f>
        <v>82.54</v>
      </c>
      <c r="J363" s="23">
        <f>VLOOKUP($A363,'MG Universe'!$A$2:$R$9994,10)</f>
        <v>2.6137000000000001</v>
      </c>
      <c r="K363" s="105">
        <f>VLOOKUP($A363,'MG Universe'!$A$2:$R$9994,11)</f>
        <v>21.22</v>
      </c>
      <c r="L363" s="23">
        <f>VLOOKUP($A363,'MG Universe'!$A$2:$R$9994,12)</f>
        <v>3.2099999999999997E-2</v>
      </c>
      <c r="M363" s="106">
        <f>VLOOKUP($A363,'MG Universe'!$A$2:$R$9994,13)</f>
        <v>0.5</v>
      </c>
      <c r="N363" s="107">
        <f>VLOOKUP($A363,'MG Universe'!$A$2:$R$9994,14)</f>
        <v>0.97</v>
      </c>
      <c r="O363" s="22">
        <f>VLOOKUP($A363,'MG Universe'!$A$2:$R$9994,15)</f>
        <v>-13.5</v>
      </c>
      <c r="P363" s="23">
        <f>VLOOKUP($A363,'MG Universe'!$A$2:$R$9994,16)</f>
        <v>6.3600000000000004E-2</v>
      </c>
      <c r="Q363" s="109">
        <f>VLOOKUP($A363,'MG Universe'!$A$2:$R$9994,17)</f>
        <v>0</v>
      </c>
      <c r="R363" s="22">
        <f>VLOOKUP($A363,'MG Universe'!$A$2:$R$9994,18)</f>
        <v>0</v>
      </c>
    </row>
    <row r="364" spans="1:18" x14ac:dyDescent="0.55000000000000004">
      <c r="A364" s="18" t="s">
        <v>690</v>
      </c>
      <c r="B364" s="19" t="str">
        <f>VLOOKUP($A364,'MG Universe'!$A$2:$R$9994,2)</f>
        <v>Progressive Corp</v>
      </c>
      <c r="C364" s="19" t="str">
        <f>VLOOKUP($A364,'MG Universe'!$A$2:$R$9994,3)</f>
        <v>C+</v>
      </c>
      <c r="D364" s="19" t="str">
        <f>VLOOKUP($A364,'MG Universe'!$A$2:$R$9994,4)</f>
        <v>E</v>
      </c>
      <c r="E364" s="19" t="str">
        <f>VLOOKUP($A364,'MG Universe'!$A$2:$R$9994,5)</f>
        <v>F</v>
      </c>
      <c r="F364" s="20" t="str">
        <f>VLOOKUP($A364,'MG Universe'!$A$2:$R$9994,6)</f>
        <v>EF</v>
      </c>
      <c r="G364" s="103">
        <f>VLOOKUP($A364,'MG Universe'!$A$2:$R$9994,7)</f>
        <v>42327</v>
      </c>
      <c r="H364" s="22">
        <f>VLOOKUP($A364,'MG Universe'!$A$2:$R$9994,8)</f>
        <v>40.450000000000003</v>
      </c>
      <c r="I364" s="22">
        <f>VLOOKUP($A364,'MG Universe'!$A$2:$R$9994,9)</f>
        <v>32.93</v>
      </c>
      <c r="J364" s="23">
        <f>VLOOKUP($A364,'MG Universe'!$A$2:$R$9994,10)</f>
        <v>0.81410000000000005</v>
      </c>
      <c r="K364" s="105">
        <f>VLOOKUP($A364,'MG Universe'!$A$2:$R$9994,11)</f>
        <v>16.97</v>
      </c>
      <c r="L364" s="23">
        <f>VLOOKUP($A364,'MG Universe'!$A$2:$R$9994,12)</f>
        <v>2.7E-2</v>
      </c>
      <c r="M364" s="106">
        <f>VLOOKUP($A364,'MG Universe'!$A$2:$R$9994,13)</f>
        <v>0.8</v>
      </c>
      <c r="N364" s="107" t="str">
        <f>VLOOKUP($A364,'MG Universe'!$A$2:$R$9994,14)</f>
        <v>N/A</v>
      </c>
      <c r="O364" s="22" t="str">
        <f>VLOOKUP($A364,'MG Universe'!$A$2:$R$9994,15)</f>
        <v>N/A</v>
      </c>
      <c r="P364" s="23">
        <f>VLOOKUP($A364,'MG Universe'!$A$2:$R$9994,16)</f>
        <v>4.24E-2</v>
      </c>
      <c r="Q364" s="109">
        <f>VLOOKUP($A364,'MG Universe'!$A$2:$R$9994,17)</f>
        <v>2</v>
      </c>
      <c r="R364" s="22">
        <f>VLOOKUP($A364,'MG Universe'!$A$2:$R$9994,18)</f>
        <v>24.06</v>
      </c>
    </row>
    <row r="365" spans="1:18" x14ac:dyDescent="0.55000000000000004">
      <c r="A365" s="18" t="s">
        <v>334</v>
      </c>
      <c r="B365" s="19" t="str">
        <f>VLOOKUP($A365,'MG Universe'!$A$2:$R$9994,2)</f>
        <v>Parker-Hannifin Corp</v>
      </c>
      <c r="C365" s="19" t="str">
        <f>VLOOKUP($A365,'MG Universe'!$A$2:$R$9994,3)</f>
        <v>B+</v>
      </c>
      <c r="D365" s="19" t="str">
        <f>VLOOKUP($A365,'MG Universe'!$A$2:$R$9994,4)</f>
        <v>D</v>
      </c>
      <c r="E365" s="19" t="str">
        <f>VLOOKUP($A365,'MG Universe'!$A$2:$R$9994,5)</f>
        <v>O</v>
      </c>
      <c r="F365" s="20" t="str">
        <f>VLOOKUP($A365,'MG Universe'!$A$2:$R$9994,6)</f>
        <v>DO</v>
      </c>
      <c r="G365" s="103">
        <f>VLOOKUP($A365,'MG Universe'!$A$2:$R$9994,7)</f>
        <v>42400</v>
      </c>
      <c r="H365" s="22">
        <f>VLOOKUP($A365,'MG Universe'!$A$2:$R$9994,8)</f>
        <v>55.49</v>
      </c>
      <c r="I365" s="22">
        <f>VLOOKUP($A365,'MG Universe'!$A$2:$R$9994,9)</f>
        <v>105.76</v>
      </c>
      <c r="J365" s="23">
        <f>VLOOKUP($A365,'MG Universe'!$A$2:$R$9994,10)</f>
        <v>1.9058999999999999</v>
      </c>
      <c r="K365" s="105">
        <f>VLOOKUP($A365,'MG Universe'!$A$2:$R$9994,11)</f>
        <v>18.11</v>
      </c>
      <c r="L365" s="23">
        <f>VLOOKUP($A365,'MG Universe'!$A$2:$R$9994,12)</f>
        <v>2.3800000000000002E-2</v>
      </c>
      <c r="M365" s="106">
        <f>VLOOKUP($A365,'MG Universe'!$A$2:$R$9994,13)</f>
        <v>1.5</v>
      </c>
      <c r="N365" s="107">
        <f>VLOOKUP($A365,'MG Universe'!$A$2:$R$9994,14)</f>
        <v>2.1800000000000002</v>
      </c>
      <c r="O365" s="22">
        <f>VLOOKUP($A365,'MG Universe'!$A$2:$R$9994,15)</f>
        <v>-13.26</v>
      </c>
      <c r="P365" s="23">
        <f>VLOOKUP($A365,'MG Universe'!$A$2:$R$9994,16)</f>
        <v>4.8000000000000001E-2</v>
      </c>
      <c r="Q365" s="109">
        <f>VLOOKUP($A365,'MG Universe'!$A$2:$R$9994,17)</f>
        <v>20</v>
      </c>
      <c r="R365" s="22">
        <f>VLOOKUP($A365,'MG Universe'!$A$2:$R$9994,18)</f>
        <v>55.07</v>
      </c>
    </row>
    <row r="366" spans="1:18" x14ac:dyDescent="0.55000000000000004">
      <c r="A366" s="18" t="s">
        <v>120</v>
      </c>
      <c r="B366" s="19" t="str">
        <f>VLOOKUP($A366,'MG Universe'!$A$2:$R$9994,2)</f>
        <v>PulteGroup, Inc.</v>
      </c>
      <c r="C366" s="19" t="str">
        <f>VLOOKUP($A366,'MG Universe'!$A$2:$R$9994,3)</f>
        <v>A-</v>
      </c>
      <c r="D366" s="19" t="str">
        <f>VLOOKUP($A366,'MG Universe'!$A$2:$R$9994,4)</f>
        <v>E</v>
      </c>
      <c r="E366" s="19" t="str">
        <f>VLOOKUP($A366,'MG Universe'!$A$2:$R$9994,5)</f>
        <v>U</v>
      </c>
      <c r="F366" s="20" t="str">
        <f>VLOOKUP($A366,'MG Universe'!$A$2:$R$9994,6)</f>
        <v>EU</v>
      </c>
      <c r="G366" s="103">
        <f>VLOOKUP($A366,'MG Universe'!$A$2:$R$9994,7)</f>
        <v>42375</v>
      </c>
      <c r="H366" s="22">
        <f>VLOOKUP($A366,'MG Universe'!$A$2:$R$9994,8)</f>
        <v>80.930000000000007</v>
      </c>
      <c r="I366" s="22">
        <f>VLOOKUP($A366,'MG Universe'!$A$2:$R$9994,9)</f>
        <v>17.87</v>
      </c>
      <c r="J366" s="23">
        <f>VLOOKUP($A366,'MG Universe'!$A$2:$R$9994,10)</f>
        <v>0.2208</v>
      </c>
      <c r="K366" s="105">
        <f>VLOOKUP($A366,'MG Universe'!$A$2:$R$9994,11)</f>
        <v>8.51</v>
      </c>
      <c r="L366" s="23">
        <f>VLOOKUP($A366,'MG Universe'!$A$2:$R$9994,12)</f>
        <v>2.01E-2</v>
      </c>
      <c r="M366" s="106">
        <f>VLOOKUP($A366,'MG Universe'!$A$2:$R$9994,13)</f>
        <v>1.9</v>
      </c>
      <c r="N366" s="107">
        <f>VLOOKUP($A366,'MG Universe'!$A$2:$R$9994,14)</f>
        <v>2.94</v>
      </c>
      <c r="O366" s="22">
        <f>VLOOKUP($A366,'MG Universe'!$A$2:$R$9994,15)</f>
        <v>5.01</v>
      </c>
      <c r="P366" s="23">
        <f>VLOOKUP($A366,'MG Universe'!$A$2:$R$9994,16)</f>
        <v>0</v>
      </c>
      <c r="Q366" s="109">
        <f>VLOOKUP($A366,'MG Universe'!$A$2:$R$9994,17)</f>
        <v>3</v>
      </c>
      <c r="R366" s="22">
        <f>VLOOKUP($A366,'MG Universe'!$A$2:$R$9994,18)</f>
        <v>18.48</v>
      </c>
    </row>
    <row r="367" spans="1:18" x14ac:dyDescent="0.55000000000000004">
      <c r="A367" s="18" t="s">
        <v>586</v>
      </c>
      <c r="B367" s="19" t="str">
        <f>VLOOKUP($A367,'MG Universe'!$A$2:$R$9994,2)</f>
        <v>PerkinElmer, Inc.</v>
      </c>
      <c r="C367" s="19" t="str">
        <f>VLOOKUP($A367,'MG Universe'!$A$2:$R$9994,3)</f>
        <v>C-</v>
      </c>
      <c r="D367" s="19" t="str">
        <f>VLOOKUP($A367,'MG Universe'!$A$2:$R$9994,4)</f>
        <v>E</v>
      </c>
      <c r="E367" s="19" t="str">
        <f>VLOOKUP($A367,'MG Universe'!$A$2:$R$9994,5)</f>
        <v>O</v>
      </c>
      <c r="F367" s="20" t="str">
        <f>VLOOKUP($A367,'MG Universe'!$A$2:$R$9994,6)</f>
        <v>EO</v>
      </c>
      <c r="G367" s="103">
        <f>VLOOKUP($A367,'MG Universe'!$A$2:$R$9994,7)</f>
        <v>42397</v>
      </c>
      <c r="H367" s="22">
        <f>VLOOKUP($A367,'MG Universe'!$A$2:$R$9994,8)</f>
        <v>19.100000000000001</v>
      </c>
      <c r="I367" s="22">
        <f>VLOOKUP($A367,'MG Universe'!$A$2:$R$9994,9)</f>
        <v>49.16</v>
      </c>
      <c r="J367" s="23">
        <f>VLOOKUP($A367,'MG Universe'!$A$2:$R$9994,10)</f>
        <v>2.5737999999999999</v>
      </c>
      <c r="K367" s="105">
        <f>VLOOKUP($A367,'MG Universe'!$A$2:$R$9994,11)</f>
        <v>33.67</v>
      </c>
      <c r="L367" s="23">
        <f>VLOOKUP($A367,'MG Universe'!$A$2:$R$9994,12)</f>
        <v>5.7000000000000002E-3</v>
      </c>
      <c r="M367" s="106">
        <f>VLOOKUP($A367,'MG Universe'!$A$2:$R$9994,13)</f>
        <v>1.1000000000000001</v>
      </c>
      <c r="N367" s="107">
        <f>VLOOKUP($A367,'MG Universe'!$A$2:$R$9994,14)</f>
        <v>1.94</v>
      </c>
      <c r="O367" s="22">
        <f>VLOOKUP($A367,'MG Universe'!$A$2:$R$9994,15)</f>
        <v>-7.97</v>
      </c>
      <c r="P367" s="23">
        <f>VLOOKUP($A367,'MG Universe'!$A$2:$R$9994,16)</f>
        <v>0.12590000000000001</v>
      </c>
      <c r="Q367" s="109">
        <f>VLOOKUP($A367,'MG Universe'!$A$2:$R$9994,17)</f>
        <v>0</v>
      </c>
      <c r="R367" s="22">
        <f>VLOOKUP($A367,'MG Universe'!$A$2:$R$9994,18)</f>
        <v>29.66</v>
      </c>
    </row>
    <row r="368" spans="1:18" x14ac:dyDescent="0.55000000000000004">
      <c r="A368" s="18" t="s">
        <v>795</v>
      </c>
      <c r="B368" s="19" t="str">
        <f>VLOOKUP($A368,'MG Universe'!$A$2:$R$9994,2)</f>
        <v>Prologis Inc</v>
      </c>
      <c r="C368" s="19" t="str">
        <f>VLOOKUP($A368,'MG Universe'!$A$2:$R$9994,3)</f>
        <v>D</v>
      </c>
      <c r="D368" s="19" t="str">
        <f>VLOOKUP($A368,'MG Universe'!$A$2:$R$9994,4)</f>
        <v>S</v>
      </c>
      <c r="E368" s="19" t="str">
        <f>VLOOKUP($A368,'MG Universe'!$A$2:$R$9994,5)</f>
        <v>O</v>
      </c>
      <c r="F368" s="20" t="str">
        <f>VLOOKUP($A368,'MG Universe'!$A$2:$R$9994,6)</f>
        <v>SO</v>
      </c>
      <c r="G368" s="103">
        <f>VLOOKUP($A368,'MG Universe'!$A$2:$R$9994,7)</f>
        <v>42298</v>
      </c>
      <c r="H368" s="22">
        <f>VLOOKUP($A368,'MG Universe'!$A$2:$R$9994,8)</f>
        <v>28.64</v>
      </c>
      <c r="I368" s="22">
        <f>VLOOKUP($A368,'MG Universe'!$A$2:$R$9994,9)</f>
        <v>40.47</v>
      </c>
      <c r="J368" s="23">
        <f>VLOOKUP($A368,'MG Universe'!$A$2:$R$9994,10)</f>
        <v>1.4131</v>
      </c>
      <c r="K368" s="105">
        <f>VLOOKUP($A368,'MG Universe'!$A$2:$R$9994,11)</f>
        <v>54.69</v>
      </c>
      <c r="L368" s="23">
        <f>VLOOKUP($A368,'MG Universe'!$A$2:$R$9994,12)</f>
        <v>4.1500000000000002E-2</v>
      </c>
      <c r="M368" s="106">
        <f>VLOOKUP($A368,'MG Universe'!$A$2:$R$9994,13)</f>
        <v>1.4</v>
      </c>
      <c r="N368" s="107">
        <f>VLOOKUP($A368,'MG Universe'!$A$2:$R$9994,14)</f>
        <v>0.65</v>
      </c>
      <c r="O368" s="22">
        <f>VLOOKUP($A368,'MG Universe'!$A$2:$R$9994,15)</f>
        <v>-31.17</v>
      </c>
      <c r="P368" s="23">
        <f>VLOOKUP($A368,'MG Universe'!$A$2:$R$9994,16)</f>
        <v>0.23089999999999999</v>
      </c>
      <c r="Q368" s="109">
        <f>VLOOKUP($A368,'MG Universe'!$A$2:$R$9994,17)</f>
        <v>2</v>
      </c>
      <c r="R368" s="22">
        <f>VLOOKUP($A368,'MG Universe'!$A$2:$R$9994,18)</f>
        <v>25.44</v>
      </c>
    </row>
    <row r="369" spans="1:18" x14ac:dyDescent="0.55000000000000004">
      <c r="A369" s="18" t="s">
        <v>1165</v>
      </c>
      <c r="B369" s="19" t="str">
        <f>VLOOKUP($A369,'MG Universe'!$A$2:$R$9994,2)</f>
        <v>Prologis Inc</v>
      </c>
      <c r="C369" s="19" t="str">
        <f>VLOOKUP($A369,'MG Universe'!$A$2:$R$9994,3)</f>
        <v>D</v>
      </c>
      <c r="D369" s="19" t="str">
        <f>VLOOKUP($A369,'MG Universe'!$A$2:$R$9994,4)</f>
        <v>S</v>
      </c>
      <c r="E369" s="19" t="str">
        <f>VLOOKUP($A369,'MG Universe'!$A$2:$R$9994,5)</f>
        <v>O</v>
      </c>
      <c r="F369" s="20" t="str">
        <f>VLOOKUP($A369,'MG Universe'!$A$2:$R$9994,6)</f>
        <v>SO</v>
      </c>
      <c r="G369" s="103">
        <f>VLOOKUP($A369,'MG Universe'!$A$2:$R$9994,7)</f>
        <v>42298</v>
      </c>
      <c r="H369" s="22">
        <f>VLOOKUP($A369,'MG Universe'!$A$2:$R$9994,8)</f>
        <v>28.64</v>
      </c>
      <c r="I369" s="22">
        <f>VLOOKUP($A369,'MG Universe'!$A$2:$R$9994,9)</f>
        <v>40.47</v>
      </c>
      <c r="J369" s="23">
        <f>VLOOKUP($A369,'MG Universe'!$A$2:$R$9994,10)</f>
        <v>1.4131</v>
      </c>
      <c r="K369" s="105">
        <f>VLOOKUP($A369,'MG Universe'!$A$2:$R$9994,11)</f>
        <v>54.69</v>
      </c>
      <c r="L369" s="23">
        <f>VLOOKUP($A369,'MG Universe'!$A$2:$R$9994,12)</f>
        <v>4.1500000000000002E-2</v>
      </c>
      <c r="M369" s="106">
        <f>VLOOKUP($A369,'MG Universe'!$A$2:$R$9994,13)</f>
        <v>1.4</v>
      </c>
      <c r="N369" s="107">
        <f>VLOOKUP($A369,'MG Universe'!$A$2:$R$9994,14)</f>
        <v>0.65</v>
      </c>
      <c r="O369" s="22">
        <f>VLOOKUP($A369,'MG Universe'!$A$2:$R$9994,15)</f>
        <v>-31.17</v>
      </c>
      <c r="P369" s="23">
        <f>VLOOKUP($A369,'MG Universe'!$A$2:$R$9994,16)</f>
        <v>0.23089999999999999</v>
      </c>
      <c r="Q369" s="109">
        <f>VLOOKUP($A369,'MG Universe'!$A$2:$R$9994,17)</f>
        <v>2</v>
      </c>
      <c r="R369" s="22">
        <f>VLOOKUP($A369,'MG Universe'!$A$2:$R$9994,18)</f>
        <v>25.44</v>
      </c>
    </row>
    <row r="370" spans="1:18" x14ac:dyDescent="0.55000000000000004">
      <c r="A370" s="18" t="s">
        <v>972</v>
      </c>
      <c r="B370" s="19" t="str">
        <f>VLOOKUP($A370,'MG Universe'!$A$2:$R$9994,2)</f>
        <v>Philip Morris International Inc.</v>
      </c>
      <c r="C370" s="19" t="str">
        <f>VLOOKUP($A370,'MG Universe'!$A$2:$R$9994,3)</f>
        <v>D+</v>
      </c>
      <c r="D370" s="19" t="str">
        <f>VLOOKUP($A370,'MG Universe'!$A$2:$R$9994,4)</f>
        <v>S</v>
      </c>
      <c r="E370" s="19" t="str">
        <f>VLOOKUP($A370,'MG Universe'!$A$2:$R$9994,5)</f>
        <v>O</v>
      </c>
      <c r="F370" s="20" t="str">
        <f>VLOOKUP($A370,'MG Universe'!$A$2:$R$9994,6)</f>
        <v>SO</v>
      </c>
      <c r="G370" s="103">
        <f>VLOOKUP($A370,'MG Universe'!$A$2:$R$9994,7)</f>
        <v>42131</v>
      </c>
      <c r="H370" s="22">
        <f>VLOOKUP($A370,'MG Universe'!$A$2:$R$9994,8)</f>
        <v>51.11</v>
      </c>
      <c r="I370" s="22">
        <f>VLOOKUP($A370,'MG Universe'!$A$2:$R$9994,9)</f>
        <v>91.55</v>
      </c>
      <c r="J370" s="23">
        <f>VLOOKUP($A370,'MG Universe'!$A$2:$R$9994,10)</f>
        <v>1.7911999999999999</v>
      </c>
      <c r="K370" s="105">
        <f>VLOOKUP($A370,'MG Universe'!$A$2:$R$9994,11)</f>
        <v>21</v>
      </c>
      <c r="L370" s="23">
        <f>VLOOKUP($A370,'MG Universe'!$A$2:$R$9994,12)</f>
        <v>4.4600000000000001E-2</v>
      </c>
      <c r="M370" s="106">
        <f>VLOOKUP($A370,'MG Universe'!$A$2:$R$9994,13)</f>
        <v>0.9</v>
      </c>
      <c r="N370" s="107">
        <f>VLOOKUP($A370,'MG Universe'!$A$2:$R$9994,14)</f>
        <v>0.95</v>
      </c>
      <c r="O370" s="22">
        <f>VLOOKUP($A370,'MG Universe'!$A$2:$R$9994,15)</f>
        <v>-21.06</v>
      </c>
      <c r="P370" s="23">
        <f>VLOOKUP($A370,'MG Universe'!$A$2:$R$9994,16)</f>
        <v>6.25E-2</v>
      </c>
      <c r="Q370" s="109">
        <f>VLOOKUP($A370,'MG Universe'!$A$2:$R$9994,17)</f>
        <v>0</v>
      </c>
      <c r="R370" s="22">
        <f>VLOOKUP($A370,'MG Universe'!$A$2:$R$9994,18)</f>
        <v>0</v>
      </c>
    </row>
    <row r="371" spans="1:18" x14ac:dyDescent="0.55000000000000004">
      <c r="A371" s="18" t="s">
        <v>61</v>
      </c>
      <c r="B371" s="19" t="str">
        <f>VLOOKUP($A371,'MG Universe'!$A$2:$R$9994,2)</f>
        <v>PNC Financial Services Group Inc</v>
      </c>
      <c r="C371" s="19" t="str">
        <f>VLOOKUP($A371,'MG Universe'!$A$2:$R$9994,3)</f>
        <v>A</v>
      </c>
      <c r="D371" s="19" t="str">
        <f>VLOOKUP($A371,'MG Universe'!$A$2:$R$9994,4)</f>
        <v>D</v>
      </c>
      <c r="E371" s="19" t="str">
        <f>VLOOKUP($A371,'MG Universe'!$A$2:$R$9994,5)</f>
        <v>U</v>
      </c>
      <c r="F371" s="20" t="str">
        <f>VLOOKUP($A371,'MG Universe'!$A$2:$R$9994,6)</f>
        <v>DU</v>
      </c>
      <c r="G371" s="103">
        <f>VLOOKUP($A371,'MG Universe'!$A$2:$R$9994,7)</f>
        <v>42321</v>
      </c>
      <c r="H371" s="22">
        <f>VLOOKUP($A371,'MG Universe'!$A$2:$R$9994,8)</f>
        <v>144.4</v>
      </c>
      <c r="I371" s="22">
        <f>VLOOKUP($A371,'MG Universe'!$A$2:$R$9994,9)</f>
        <v>85.65</v>
      </c>
      <c r="J371" s="23">
        <f>VLOOKUP($A371,'MG Universe'!$A$2:$R$9994,10)</f>
        <v>0.59309999999999996</v>
      </c>
      <c r="K371" s="105">
        <f>VLOOKUP($A371,'MG Universe'!$A$2:$R$9994,11)</f>
        <v>12.38</v>
      </c>
      <c r="L371" s="23">
        <f>VLOOKUP($A371,'MG Universe'!$A$2:$R$9994,12)</f>
        <v>2.3800000000000002E-2</v>
      </c>
      <c r="M371" s="106">
        <f>VLOOKUP($A371,'MG Universe'!$A$2:$R$9994,13)</f>
        <v>1</v>
      </c>
      <c r="N371" s="107" t="str">
        <f>VLOOKUP($A371,'MG Universe'!$A$2:$R$9994,14)</f>
        <v>N/A</v>
      </c>
      <c r="O371" s="22" t="str">
        <f>VLOOKUP($A371,'MG Universe'!$A$2:$R$9994,15)</f>
        <v>N/A</v>
      </c>
      <c r="P371" s="23">
        <f>VLOOKUP($A371,'MG Universe'!$A$2:$R$9994,16)</f>
        <v>1.9400000000000001E-2</v>
      </c>
      <c r="Q371" s="109">
        <f>VLOOKUP($A371,'MG Universe'!$A$2:$R$9994,17)</f>
        <v>5</v>
      </c>
      <c r="R371" s="22">
        <f>VLOOKUP($A371,'MG Universe'!$A$2:$R$9994,18)</f>
        <v>119.49</v>
      </c>
    </row>
    <row r="372" spans="1:18" x14ac:dyDescent="0.55000000000000004">
      <c r="A372" s="18" t="s">
        <v>797</v>
      </c>
      <c r="B372" s="19" t="str">
        <f>VLOOKUP($A372,'MG Universe'!$A$2:$R$9994,2)</f>
        <v>Pentair plc. Ordinary Share</v>
      </c>
      <c r="C372" s="19" t="str">
        <f>VLOOKUP($A372,'MG Universe'!$A$2:$R$9994,3)</f>
        <v>D</v>
      </c>
      <c r="D372" s="19" t="str">
        <f>VLOOKUP($A372,'MG Universe'!$A$2:$R$9994,4)</f>
        <v>S</v>
      </c>
      <c r="E372" s="19" t="str">
        <f>VLOOKUP($A372,'MG Universe'!$A$2:$R$9994,5)</f>
        <v>O</v>
      </c>
      <c r="F372" s="20" t="str">
        <f>VLOOKUP($A372,'MG Universe'!$A$2:$R$9994,6)</f>
        <v>SO</v>
      </c>
      <c r="G372" s="103">
        <f>VLOOKUP($A372,'MG Universe'!$A$2:$R$9994,7)</f>
        <v>42333</v>
      </c>
      <c r="H372" s="22">
        <f>VLOOKUP($A372,'MG Universe'!$A$2:$R$9994,8)</f>
        <v>36.68</v>
      </c>
      <c r="I372" s="22">
        <f>VLOOKUP($A372,'MG Universe'!$A$2:$R$9994,9)</f>
        <v>50.61</v>
      </c>
      <c r="J372" s="23">
        <f>VLOOKUP($A372,'MG Universe'!$A$2:$R$9994,10)</f>
        <v>1.3797999999999999</v>
      </c>
      <c r="K372" s="105">
        <f>VLOOKUP($A372,'MG Universe'!$A$2:$R$9994,11)</f>
        <v>30.31</v>
      </c>
      <c r="L372" s="23">
        <f>VLOOKUP($A372,'MG Universe'!$A$2:$R$9994,12)</f>
        <v>2.6100000000000002E-2</v>
      </c>
      <c r="M372" s="106">
        <f>VLOOKUP($A372,'MG Universe'!$A$2:$R$9994,13)</f>
        <v>1.3</v>
      </c>
      <c r="N372" s="107">
        <f>VLOOKUP($A372,'MG Universe'!$A$2:$R$9994,14)</f>
        <v>1.98</v>
      </c>
      <c r="O372" s="22">
        <f>VLOOKUP($A372,'MG Universe'!$A$2:$R$9994,15)</f>
        <v>-28.32</v>
      </c>
      <c r="P372" s="23">
        <f>VLOOKUP($A372,'MG Universe'!$A$2:$R$9994,16)</f>
        <v>0.109</v>
      </c>
      <c r="Q372" s="109">
        <f>VLOOKUP($A372,'MG Universe'!$A$2:$R$9994,17)</f>
        <v>10</v>
      </c>
      <c r="R372" s="22">
        <f>VLOOKUP($A372,'MG Universe'!$A$2:$R$9994,18)</f>
        <v>42.96</v>
      </c>
    </row>
    <row r="373" spans="1:18" x14ac:dyDescent="0.55000000000000004">
      <c r="A373" s="18" t="s">
        <v>588</v>
      </c>
      <c r="B373" s="19" t="str">
        <f>VLOOKUP($A373,'MG Universe'!$A$2:$R$9994,2)</f>
        <v>Pinnacle West Capital Corporation</v>
      </c>
      <c r="C373" s="19" t="str">
        <f>VLOOKUP($A373,'MG Universe'!$A$2:$R$9994,3)</f>
        <v>C-</v>
      </c>
      <c r="D373" s="19" t="str">
        <f>VLOOKUP($A373,'MG Universe'!$A$2:$R$9994,4)</f>
        <v>S</v>
      </c>
      <c r="E373" s="19" t="str">
        <f>VLOOKUP($A373,'MG Universe'!$A$2:$R$9994,5)</f>
        <v>F</v>
      </c>
      <c r="F373" s="20" t="str">
        <f>VLOOKUP($A373,'MG Universe'!$A$2:$R$9994,6)</f>
        <v>SF</v>
      </c>
      <c r="G373" s="103">
        <f>VLOOKUP($A373,'MG Universe'!$A$2:$R$9994,7)</f>
        <v>42348</v>
      </c>
      <c r="H373" s="22">
        <f>VLOOKUP($A373,'MG Universe'!$A$2:$R$9994,8)</f>
        <v>73.430000000000007</v>
      </c>
      <c r="I373" s="22">
        <f>VLOOKUP($A373,'MG Universe'!$A$2:$R$9994,9)</f>
        <v>68.489999999999995</v>
      </c>
      <c r="J373" s="23">
        <f>VLOOKUP($A373,'MG Universe'!$A$2:$R$9994,10)</f>
        <v>0.93269999999999997</v>
      </c>
      <c r="K373" s="105">
        <f>VLOOKUP($A373,'MG Universe'!$A$2:$R$9994,11)</f>
        <v>19.13</v>
      </c>
      <c r="L373" s="23">
        <f>VLOOKUP($A373,'MG Universe'!$A$2:$R$9994,12)</f>
        <v>3.6499999999999998E-2</v>
      </c>
      <c r="M373" s="106">
        <f>VLOOKUP($A373,'MG Universe'!$A$2:$R$9994,13)</f>
        <v>0.3</v>
      </c>
      <c r="N373" s="107">
        <f>VLOOKUP($A373,'MG Universe'!$A$2:$R$9994,14)</f>
        <v>0.7</v>
      </c>
      <c r="O373" s="22">
        <f>VLOOKUP($A373,'MG Universe'!$A$2:$R$9994,15)</f>
        <v>-82.06</v>
      </c>
      <c r="P373" s="23">
        <f>VLOOKUP($A373,'MG Universe'!$A$2:$R$9994,16)</f>
        <v>5.3199999999999997E-2</v>
      </c>
      <c r="Q373" s="109">
        <f>VLOOKUP($A373,'MG Universe'!$A$2:$R$9994,17)</f>
        <v>4</v>
      </c>
      <c r="R373" s="22">
        <f>VLOOKUP($A373,'MG Universe'!$A$2:$R$9994,18)</f>
        <v>59.04</v>
      </c>
    </row>
    <row r="374" spans="1:18" x14ac:dyDescent="0.55000000000000004">
      <c r="A374" s="18" t="s">
        <v>799</v>
      </c>
      <c r="B374" s="19" t="str">
        <f>VLOOKUP($A374,'MG Universe'!$A$2:$R$9994,2)</f>
        <v>Pepco Holdings, Inc.</v>
      </c>
      <c r="C374" s="19" t="str">
        <f>VLOOKUP($A374,'MG Universe'!$A$2:$R$9994,3)</f>
        <v>D</v>
      </c>
      <c r="D374" s="19" t="str">
        <f>VLOOKUP($A374,'MG Universe'!$A$2:$R$9994,4)</f>
        <v>S</v>
      </c>
      <c r="E374" s="19" t="str">
        <f>VLOOKUP($A374,'MG Universe'!$A$2:$R$9994,5)</f>
        <v>O</v>
      </c>
      <c r="F374" s="20" t="str">
        <f>VLOOKUP($A374,'MG Universe'!$A$2:$R$9994,6)</f>
        <v>SO</v>
      </c>
      <c r="G374" s="103">
        <f>VLOOKUP($A374,'MG Universe'!$A$2:$R$9994,7)</f>
        <v>42348</v>
      </c>
      <c r="H374" s="22">
        <f>VLOOKUP($A374,'MG Universe'!$A$2:$R$9994,8)</f>
        <v>0</v>
      </c>
      <c r="I374" s="22">
        <f>VLOOKUP($A374,'MG Universe'!$A$2:$R$9994,9)</f>
        <v>23.66</v>
      </c>
      <c r="J374" s="23" t="str">
        <f>VLOOKUP($A374,'MG Universe'!$A$2:$R$9994,10)</f>
        <v>N/A</v>
      </c>
      <c r="K374" s="105">
        <f>VLOOKUP($A374,'MG Universe'!$A$2:$R$9994,11)</f>
        <v>36.4</v>
      </c>
      <c r="L374" s="23">
        <f>VLOOKUP($A374,'MG Universe'!$A$2:$R$9994,12)</f>
        <v>4.5600000000000002E-2</v>
      </c>
      <c r="M374" s="106">
        <f>VLOOKUP($A374,'MG Universe'!$A$2:$R$9994,13)</f>
        <v>0.4</v>
      </c>
      <c r="N374" s="107">
        <f>VLOOKUP($A374,'MG Universe'!$A$2:$R$9994,14)</f>
        <v>0.66</v>
      </c>
      <c r="O374" s="22">
        <f>VLOOKUP($A374,'MG Universe'!$A$2:$R$9994,15)</f>
        <v>-41.98</v>
      </c>
      <c r="P374" s="23">
        <f>VLOOKUP($A374,'MG Universe'!$A$2:$R$9994,16)</f>
        <v>0.13950000000000001</v>
      </c>
      <c r="Q374" s="109">
        <f>VLOOKUP($A374,'MG Universe'!$A$2:$R$9994,17)</f>
        <v>0</v>
      </c>
      <c r="R374" s="22">
        <f>VLOOKUP($A374,'MG Universe'!$A$2:$R$9994,18)</f>
        <v>19.440000000000001</v>
      </c>
    </row>
    <row r="375" spans="1:18" x14ac:dyDescent="0.55000000000000004">
      <c r="A375" s="18" t="s">
        <v>590</v>
      </c>
      <c r="B375" s="19" t="str">
        <f>VLOOKUP($A375,'MG Universe'!$A$2:$R$9994,2)</f>
        <v>PPG Industries, Inc.</v>
      </c>
      <c r="C375" s="19" t="str">
        <f>VLOOKUP($A375,'MG Universe'!$A$2:$R$9994,3)</f>
        <v>C-</v>
      </c>
      <c r="D375" s="19" t="str">
        <f>VLOOKUP($A375,'MG Universe'!$A$2:$R$9994,4)</f>
        <v>S</v>
      </c>
      <c r="E375" s="19" t="str">
        <f>VLOOKUP($A375,'MG Universe'!$A$2:$R$9994,5)</f>
        <v>U</v>
      </c>
      <c r="F375" s="20" t="str">
        <f>VLOOKUP($A375,'MG Universe'!$A$2:$R$9994,6)</f>
        <v>SU</v>
      </c>
      <c r="G375" s="103">
        <f>VLOOKUP($A375,'MG Universe'!$A$2:$R$9994,7)</f>
        <v>42074</v>
      </c>
      <c r="H375" s="22">
        <f>VLOOKUP($A375,'MG Universe'!$A$2:$R$9994,8)</f>
        <v>515.34</v>
      </c>
      <c r="I375" s="22">
        <f>VLOOKUP($A375,'MG Universe'!$A$2:$R$9994,9)</f>
        <v>99.33</v>
      </c>
      <c r="J375" s="23">
        <f>VLOOKUP($A375,'MG Universe'!$A$2:$R$9994,10)</f>
        <v>0.19270000000000001</v>
      </c>
      <c r="K375" s="105">
        <f>VLOOKUP($A375,'MG Universe'!$A$2:$R$9994,11)</f>
        <v>7.42</v>
      </c>
      <c r="L375" s="23">
        <f>VLOOKUP($A375,'MG Universe'!$A$2:$R$9994,12)</f>
        <v>1.4500000000000001E-2</v>
      </c>
      <c r="M375" s="106">
        <f>VLOOKUP($A375,'MG Universe'!$A$2:$R$9994,13)</f>
        <v>1.4</v>
      </c>
      <c r="N375" s="107">
        <f>VLOOKUP($A375,'MG Universe'!$A$2:$R$9994,14)</f>
        <v>1.4</v>
      </c>
      <c r="O375" s="22">
        <f>VLOOKUP($A375,'MG Universe'!$A$2:$R$9994,15)</f>
        <v>-39.979999999999997</v>
      </c>
      <c r="P375" s="23">
        <f>VLOOKUP($A375,'MG Universe'!$A$2:$R$9994,16)</f>
        <v>-5.4000000000000003E-3</v>
      </c>
      <c r="Q375" s="109">
        <f>VLOOKUP($A375,'MG Universe'!$A$2:$R$9994,17)</f>
        <v>0</v>
      </c>
      <c r="R375" s="22">
        <f>VLOOKUP($A375,'MG Universe'!$A$2:$R$9994,18)</f>
        <v>0</v>
      </c>
    </row>
    <row r="376" spans="1:18" x14ac:dyDescent="0.55000000000000004">
      <c r="A376" s="18" t="s">
        <v>974</v>
      </c>
      <c r="B376" s="19" t="str">
        <f>VLOOKUP($A376,'MG Universe'!$A$2:$R$9994,2)</f>
        <v>PPL Corp</v>
      </c>
      <c r="C376" s="19" t="str">
        <f>VLOOKUP($A376,'MG Universe'!$A$2:$R$9994,3)</f>
        <v>D+</v>
      </c>
      <c r="D376" s="19" t="str">
        <f>VLOOKUP($A376,'MG Universe'!$A$2:$R$9994,4)</f>
        <v>S</v>
      </c>
      <c r="E376" s="19" t="str">
        <f>VLOOKUP($A376,'MG Universe'!$A$2:$R$9994,5)</f>
        <v>O</v>
      </c>
      <c r="F376" s="20" t="str">
        <f>VLOOKUP($A376,'MG Universe'!$A$2:$R$9994,6)</f>
        <v>SO</v>
      </c>
      <c r="G376" s="103">
        <f>VLOOKUP($A376,'MG Universe'!$A$2:$R$9994,7)</f>
        <v>42399</v>
      </c>
      <c r="H376" s="22">
        <f>VLOOKUP($A376,'MG Universe'!$A$2:$R$9994,8)</f>
        <v>5.49</v>
      </c>
      <c r="I376" s="22">
        <f>VLOOKUP($A376,'MG Universe'!$A$2:$R$9994,9)</f>
        <v>34.92</v>
      </c>
      <c r="J376" s="23">
        <f>VLOOKUP($A376,'MG Universe'!$A$2:$R$9994,10)</f>
        <v>6.3606999999999996</v>
      </c>
      <c r="K376" s="105">
        <f>VLOOKUP($A376,'MG Universe'!$A$2:$R$9994,11)</f>
        <v>19.079999999999998</v>
      </c>
      <c r="L376" s="23">
        <f>VLOOKUP($A376,'MG Universe'!$A$2:$R$9994,12)</f>
        <v>4.3499999999999997E-2</v>
      </c>
      <c r="M376" s="106">
        <f>VLOOKUP($A376,'MG Universe'!$A$2:$R$9994,13)</f>
        <v>0.3</v>
      </c>
      <c r="N376" s="107">
        <f>VLOOKUP($A376,'MG Universe'!$A$2:$R$9994,14)</f>
        <v>0.67</v>
      </c>
      <c r="O376" s="22">
        <f>VLOOKUP($A376,'MG Universe'!$A$2:$R$9994,15)</f>
        <v>-38.64</v>
      </c>
      <c r="P376" s="23">
        <f>VLOOKUP($A376,'MG Universe'!$A$2:$R$9994,16)</f>
        <v>5.2900000000000003E-2</v>
      </c>
      <c r="Q376" s="109">
        <f>VLOOKUP($A376,'MG Universe'!$A$2:$R$9994,17)</f>
        <v>4</v>
      </c>
      <c r="R376" s="22">
        <f>VLOOKUP($A376,'MG Universe'!$A$2:$R$9994,18)</f>
        <v>16.34</v>
      </c>
    </row>
    <row r="377" spans="1:18" x14ac:dyDescent="0.55000000000000004">
      <c r="A377" s="18" t="s">
        <v>437</v>
      </c>
      <c r="B377" s="19" t="str">
        <f>VLOOKUP($A377,'MG Universe'!$A$2:$R$9994,2)</f>
        <v>Perrigo Company plc Ordinary Shares</v>
      </c>
      <c r="C377" s="19" t="str">
        <f>VLOOKUP($A377,'MG Universe'!$A$2:$R$9994,3)</f>
        <v>C</v>
      </c>
      <c r="D377" s="19" t="str">
        <f>VLOOKUP($A377,'MG Universe'!$A$2:$R$9994,4)</f>
        <v>E</v>
      </c>
      <c r="E377" s="19" t="str">
        <f>VLOOKUP($A377,'MG Universe'!$A$2:$R$9994,5)</f>
        <v>O</v>
      </c>
      <c r="F377" s="20" t="str">
        <f>VLOOKUP($A377,'MG Universe'!$A$2:$R$9994,6)</f>
        <v>EO</v>
      </c>
      <c r="G377" s="103">
        <f>VLOOKUP($A377,'MG Universe'!$A$2:$R$9994,7)</f>
        <v>42395</v>
      </c>
      <c r="H377" s="22">
        <f>VLOOKUP($A377,'MG Universe'!$A$2:$R$9994,8)</f>
        <v>67.66</v>
      </c>
      <c r="I377" s="22">
        <f>VLOOKUP($A377,'MG Universe'!$A$2:$R$9994,9)</f>
        <v>125.81</v>
      </c>
      <c r="J377" s="23">
        <f>VLOOKUP($A377,'MG Universe'!$A$2:$R$9994,10)</f>
        <v>1.8593999999999999</v>
      </c>
      <c r="K377" s="105">
        <f>VLOOKUP($A377,'MG Universe'!$A$2:$R$9994,11)</f>
        <v>31.14</v>
      </c>
      <c r="L377" s="23">
        <f>VLOOKUP($A377,'MG Universe'!$A$2:$R$9994,12)</f>
        <v>4.5999999999999999E-3</v>
      </c>
      <c r="M377" s="106" t="e">
        <f>VLOOKUP($A377,'MG Universe'!$A$2:$R$9994,13)</f>
        <v>#N/A</v>
      </c>
      <c r="N377" s="107">
        <f>VLOOKUP($A377,'MG Universe'!$A$2:$R$9994,14)</f>
        <v>1.73</v>
      </c>
      <c r="O377" s="22">
        <f>VLOOKUP($A377,'MG Universe'!$A$2:$R$9994,15)</f>
        <v>-41.46</v>
      </c>
      <c r="P377" s="23">
        <f>VLOOKUP($A377,'MG Universe'!$A$2:$R$9994,16)</f>
        <v>0.1132</v>
      </c>
      <c r="Q377" s="109">
        <f>VLOOKUP($A377,'MG Universe'!$A$2:$R$9994,17)</f>
        <v>14</v>
      </c>
      <c r="R377" s="22">
        <f>VLOOKUP($A377,'MG Universe'!$A$2:$R$9994,18)</f>
        <v>112.08</v>
      </c>
    </row>
    <row r="378" spans="1:18" x14ac:dyDescent="0.55000000000000004">
      <c r="A378" s="18" t="s">
        <v>439</v>
      </c>
      <c r="B378" s="19" t="str">
        <f>VLOOKUP($A378,'MG Universe'!$A$2:$R$9994,2)</f>
        <v>Prudential Financial Inc</v>
      </c>
      <c r="C378" s="19" t="str">
        <f>VLOOKUP($A378,'MG Universe'!$A$2:$R$9994,3)</f>
        <v>C</v>
      </c>
      <c r="D378" s="19" t="str">
        <f>VLOOKUP($A378,'MG Universe'!$A$2:$R$9994,4)</f>
        <v>S</v>
      </c>
      <c r="E378" s="19" t="str">
        <f>VLOOKUP($A378,'MG Universe'!$A$2:$R$9994,5)</f>
        <v>O</v>
      </c>
      <c r="F378" s="20" t="str">
        <f>VLOOKUP($A378,'MG Universe'!$A$2:$R$9994,6)</f>
        <v>SO</v>
      </c>
      <c r="G378" s="103">
        <f>VLOOKUP($A378,'MG Universe'!$A$2:$R$9994,7)</f>
        <v>42411</v>
      </c>
      <c r="H378" s="22">
        <f>VLOOKUP($A378,'MG Universe'!$A$2:$R$9994,8)</f>
        <v>43.76</v>
      </c>
      <c r="I378" s="22">
        <f>VLOOKUP($A378,'MG Universe'!$A$2:$R$9994,9)</f>
        <v>70.760000000000005</v>
      </c>
      <c r="J378" s="23">
        <f>VLOOKUP($A378,'MG Universe'!$A$2:$R$9994,10)</f>
        <v>1.617</v>
      </c>
      <c r="K378" s="105">
        <f>VLOOKUP($A378,'MG Universe'!$A$2:$R$9994,11)</f>
        <v>13.15</v>
      </c>
      <c r="L378" s="23">
        <f>VLOOKUP($A378,'MG Universe'!$A$2:$R$9994,12)</f>
        <v>3.9600000000000003E-2</v>
      </c>
      <c r="M378" s="106">
        <f>VLOOKUP($A378,'MG Universe'!$A$2:$R$9994,13)</f>
        <v>1.7</v>
      </c>
      <c r="N378" s="107" t="str">
        <f>VLOOKUP($A378,'MG Universe'!$A$2:$R$9994,14)</f>
        <v>N/A</v>
      </c>
      <c r="O378" s="22" t="str">
        <f>VLOOKUP($A378,'MG Universe'!$A$2:$R$9994,15)</f>
        <v>N/A</v>
      </c>
      <c r="P378" s="23">
        <f>VLOOKUP($A378,'MG Universe'!$A$2:$R$9994,16)</f>
        <v>2.3300000000000001E-2</v>
      </c>
      <c r="Q378" s="109">
        <f>VLOOKUP($A378,'MG Universe'!$A$2:$R$9994,17)</f>
        <v>7</v>
      </c>
      <c r="R378" s="22">
        <f>VLOOKUP($A378,'MG Universe'!$A$2:$R$9994,18)</f>
        <v>164.8</v>
      </c>
    </row>
    <row r="379" spans="1:18" x14ac:dyDescent="0.55000000000000004">
      <c r="A379" s="18" t="s">
        <v>801</v>
      </c>
      <c r="B379" s="19" t="str">
        <f>VLOOKUP($A379,'MG Universe'!$A$2:$R$9994,2)</f>
        <v>Public Storage</v>
      </c>
      <c r="C379" s="19" t="str">
        <f>VLOOKUP($A379,'MG Universe'!$A$2:$R$9994,3)</f>
        <v>D</v>
      </c>
      <c r="D379" s="19" t="str">
        <f>VLOOKUP($A379,'MG Universe'!$A$2:$R$9994,4)</f>
        <v>S</v>
      </c>
      <c r="E379" s="19" t="str">
        <f>VLOOKUP($A379,'MG Universe'!$A$2:$R$9994,5)</f>
        <v>O</v>
      </c>
      <c r="F379" s="20" t="str">
        <f>VLOOKUP($A379,'MG Universe'!$A$2:$R$9994,6)</f>
        <v>SO</v>
      </c>
      <c r="G379" s="103">
        <f>VLOOKUP($A379,'MG Universe'!$A$2:$R$9994,7)</f>
        <v>42089</v>
      </c>
      <c r="H379" s="22">
        <f>VLOOKUP($A379,'MG Universe'!$A$2:$R$9994,8)</f>
        <v>120.94</v>
      </c>
      <c r="I379" s="22">
        <f>VLOOKUP($A379,'MG Universe'!$A$2:$R$9994,9)</f>
        <v>256.17</v>
      </c>
      <c r="J379" s="23">
        <f>VLOOKUP($A379,'MG Universe'!$A$2:$R$9994,10)</f>
        <v>2.1181999999999999</v>
      </c>
      <c r="K379" s="105">
        <f>VLOOKUP($A379,'MG Universe'!$A$2:$R$9994,11)</f>
        <v>57.83</v>
      </c>
      <c r="L379" s="23">
        <f>VLOOKUP($A379,'MG Universe'!$A$2:$R$9994,12)</f>
        <v>2.6499999999999999E-2</v>
      </c>
      <c r="M379" s="106">
        <f>VLOOKUP($A379,'MG Universe'!$A$2:$R$9994,13)</f>
        <v>0.6</v>
      </c>
      <c r="N379" s="107">
        <f>VLOOKUP($A379,'MG Universe'!$A$2:$R$9994,14)</f>
        <v>0.76</v>
      </c>
      <c r="O379" s="22">
        <f>VLOOKUP($A379,'MG Universe'!$A$2:$R$9994,15)</f>
        <v>-0.87</v>
      </c>
      <c r="P379" s="23">
        <f>VLOOKUP($A379,'MG Universe'!$A$2:$R$9994,16)</f>
        <v>0.24660000000000001</v>
      </c>
      <c r="Q379" s="109">
        <f>VLOOKUP($A379,'MG Universe'!$A$2:$R$9994,17)</f>
        <v>0</v>
      </c>
      <c r="R379" s="22">
        <f>VLOOKUP($A379,'MG Universe'!$A$2:$R$9994,18)</f>
        <v>0</v>
      </c>
    </row>
    <row r="380" spans="1:18" x14ac:dyDescent="0.55000000000000004">
      <c r="A380" s="18" t="s">
        <v>441</v>
      </c>
      <c r="B380" s="19" t="str">
        <f>VLOOKUP($A380,'MG Universe'!$A$2:$R$9994,2)</f>
        <v>Phillips 66</v>
      </c>
      <c r="C380" s="19" t="str">
        <f>VLOOKUP($A380,'MG Universe'!$A$2:$R$9994,3)</f>
        <v>C</v>
      </c>
      <c r="D380" s="19" t="str">
        <f>VLOOKUP($A380,'MG Universe'!$A$2:$R$9994,4)</f>
        <v>S</v>
      </c>
      <c r="E380" s="19" t="str">
        <f>VLOOKUP($A380,'MG Universe'!$A$2:$R$9994,5)</f>
        <v>U</v>
      </c>
      <c r="F380" s="20" t="str">
        <f>VLOOKUP($A380,'MG Universe'!$A$2:$R$9994,6)</f>
        <v>SU</v>
      </c>
      <c r="G380" s="103">
        <f>VLOOKUP($A380,'MG Universe'!$A$2:$R$9994,7)</f>
        <v>41992</v>
      </c>
      <c r="H380" s="22">
        <f>VLOOKUP($A380,'MG Universe'!$A$2:$R$9994,8)</f>
        <v>230.79</v>
      </c>
      <c r="I380" s="22">
        <f>VLOOKUP($A380,'MG Universe'!$A$2:$R$9994,9)</f>
        <v>84.56</v>
      </c>
      <c r="J380" s="23">
        <f>VLOOKUP($A380,'MG Universe'!$A$2:$R$9994,10)</f>
        <v>0.3664</v>
      </c>
      <c r="K380" s="105">
        <f>VLOOKUP($A380,'MG Universe'!$A$2:$R$9994,11)</f>
        <v>14.12</v>
      </c>
      <c r="L380" s="23">
        <f>VLOOKUP($A380,'MG Universe'!$A$2:$R$9994,12)</f>
        <v>2.6499999999999999E-2</v>
      </c>
      <c r="M380" s="106">
        <f>VLOOKUP($A380,'MG Universe'!$A$2:$R$9994,13)</f>
        <v>1.5</v>
      </c>
      <c r="N380" s="107">
        <f>VLOOKUP($A380,'MG Universe'!$A$2:$R$9994,14)</f>
        <v>1.32</v>
      </c>
      <c r="O380" s="22">
        <f>VLOOKUP($A380,'MG Universe'!$A$2:$R$9994,15)</f>
        <v>-17.190000000000001</v>
      </c>
      <c r="P380" s="23">
        <f>VLOOKUP($A380,'MG Universe'!$A$2:$R$9994,16)</f>
        <v>2.81E-2</v>
      </c>
      <c r="Q380" s="109">
        <f>VLOOKUP($A380,'MG Universe'!$A$2:$R$9994,17)</f>
        <v>0</v>
      </c>
      <c r="R380" s="22">
        <f>VLOOKUP($A380,'MG Universe'!$A$2:$R$9994,18)</f>
        <v>0</v>
      </c>
    </row>
    <row r="381" spans="1:18" x14ac:dyDescent="0.55000000000000004">
      <c r="A381" s="18" t="s">
        <v>592</v>
      </c>
      <c r="B381" s="19" t="str">
        <f>VLOOKUP($A381,'MG Universe'!$A$2:$R$9994,2)</f>
        <v>PVH Corp</v>
      </c>
      <c r="C381" s="19" t="str">
        <f>VLOOKUP($A381,'MG Universe'!$A$2:$R$9994,3)</f>
        <v>C-</v>
      </c>
      <c r="D381" s="19" t="str">
        <f>VLOOKUP($A381,'MG Universe'!$A$2:$R$9994,4)</f>
        <v>S</v>
      </c>
      <c r="E381" s="19" t="str">
        <f>VLOOKUP($A381,'MG Universe'!$A$2:$R$9994,5)</f>
        <v>U</v>
      </c>
      <c r="F381" s="20" t="str">
        <f>VLOOKUP($A381,'MG Universe'!$A$2:$R$9994,6)</f>
        <v>SU</v>
      </c>
      <c r="G381" s="103">
        <f>VLOOKUP($A381,'MG Universe'!$A$2:$R$9994,7)</f>
        <v>42096</v>
      </c>
      <c r="H381" s="22">
        <f>VLOOKUP($A381,'MG Universe'!$A$2:$R$9994,8)</f>
        <v>143.94999999999999</v>
      </c>
      <c r="I381" s="22">
        <f>VLOOKUP($A381,'MG Universe'!$A$2:$R$9994,9)</f>
        <v>84.35</v>
      </c>
      <c r="J381" s="23">
        <f>VLOOKUP($A381,'MG Universe'!$A$2:$R$9994,10)</f>
        <v>0.58599999999999997</v>
      </c>
      <c r="K381" s="105">
        <f>VLOOKUP($A381,'MG Universe'!$A$2:$R$9994,11)</f>
        <v>21.35</v>
      </c>
      <c r="L381" s="23">
        <f>VLOOKUP($A381,'MG Universe'!$A$2:$R$9994,12)</f>
        <v>1.8E-3</v>
      </c>
      <c r="M381" s="106">
        <f>VLOOKUP($A381,'MG Universe'!$A$2:$R$9994,13)</f>
        <v>1</v>
      </c>
      <c r="N381" s="107">
        <f>VLOOKUP($A381,'MG Universe'!$A$2:$R$9994,14)</f>
        <v>0.93</v>
      </c>
      <c r="O381" s="22">
        <f>VLOOKUP($A381,'MG Universe'!$A$2:$R$9994,15)</f>
        <v>-43.97</v>
      </c>
      <c r="P381" s="23">
        <f>VLOOKUP($A381,'MG Universe'!$A$2:$R$9994,16)</f>
        <v>6.4299999999999996E-2</v>
      </c>
      <c r="Q381" s="109">
        <f>VLOOKUP($A381,'MG Universe'!$A$2:$R$9994,17)</f>
        <v>0</v>
      </c>
      <c r="R381" s="22">
        <f>VLOOKUP($A381,'MG Universe'!$A$2:$R$9994,18)</f>
        <v>0</v>
      </c>
    </row>
    <row r="382" spans="1:18" x14ac:dyDescent="0.55000000000000004">
      <c r="A382" s="18" t="s">
        <v>336</v>
      </c>
      <c r="B382" s="19" t="str">
        <f>VLOOKUP($A382,'MG Universe'!$A$2:$R$9994,2)</f>
        <v>Quanta Services Inc</v>
      </c>
      <c r="C382" s="19" t="str">
        <f>VLOOKUP($A382,'MG Universe'!$A$2:$R$9994,3)</f>
        <v>B+</v>
      </c>
      <c r="D382" s="19" t="str">
        <f>VLOOKUP($A382,'MG Universe'!$A$2:$R$9994,4)</f>
        <v>E</v>
      </c>
      <c r="E382" s="19" t="str">
        <f>VLOOKUP($A382,'MG Universe'!$A$2:$R$9994,5)</f>
        <v>U</v>
      </c>
      <c r="F382" s="20" t="str">
        <f>VLOOKUP($A382,'MG Universe'!$A$2:$R$9994,6)</f>
        <v>EU</v>
      </c>
      <c r="G382" s="103">
        <f>VLOOKUP($A382,'MG Universe'!$A$2:$R$9994,7)</f>
        <v>42410</v>
      </c>
      <c r="H382" s="22">
        <f>VLOOKUP($A382,'MG Universe'!$A$2:$R$9994,8)</f>
        <v>61.37</v>
      </c>
      <c r="I382" s="22">
        <f>VLOOKUP($A382,'MG Universe'!$A$2:$R$9994,9)</f>
        <v>21.2</v>
      </c>
      <c r="J382" s="23">
        <f>VLOOKUP($A382,'MG Universe'!$A$2:$R$9994,10)</f>
        <v>0.34539999999999998</v>
      </c>
      <c r="K382" s="105">
        <f>VLOOKUP($A382,'MG Universe'!$A$2:$R$9994,11)</f>
        <v>13.33</v>
      </c>
      <c r="L382" s="23" t="str">
        <f>VLOOKUP($A382,'MG Universe'!$A$2:$R$9994,12)</f>
        <v>N/A</v>
      </c>
      <c r="M382" s="106">
        <f>VLOOKUP($A382,'MG Universe'!$A$2:$R$9994,13)</f>
        <v>0.5</v>
      </c>
      <c r="N382" s="107">
        <f>VLOOKUP($A382,'MG Universe'!$A$2:$R$9994,14)</f>
        <v>1.76</v>
      </c>
      <c r="O382" s="22">
        <f>VLOOKUP($A382,'MG Universe'!$A$2:$R$9994,15)</f>
        <v>0.87</v>
      </c>
      <c r="P382" s="23">
        <f>VLOOKUP($A382,'MG Universe'!$A$2:$R$9994,16)</f>
        <v>2.4199999999999999E-2</v>
      </c>
      <c r="Q382" s="109">
        <f>VLOOKUP($A382,'MG Universe'!$A$2:$R$9994,17)</f>
        <v>0</v>
      </c>
      <c r="R382" s="22">
        <f>VLOOKUP($A382,'MG Universe'!$A$2:$R$9994,18)</f>
        <v>29.36</v>
      </c>
    </row>
    <row r="383" spans="1:18" x14ac:dyDescent="0.55000000000000004">
      <c r="A383" s="18" t="s">
        <v>976</v>
      </c>
      <c r="B383" s="19" t="str">
        <f>VLOOKUP($A383,'MG Universe'!$A$2:$R$9994,2)</f>
        <v>Praxair, Inc.</v>
      </c>
      <c r="C383" s="19" t="str">
        <f>VLOOKUP($A383,'MG Universe'!$A$2:$R$9994,3)</f>
        <v>D+</v>
      </c>
      <c r="D383" s="19" t="str">
        <f>VLOOKUP($A383,'MG Universe'!$A$2:$R$9994,4)</f>
        <v>S</v>
      </c>
      <c r="E383" s="19" t="str">
        <f>VLOOKUP($A383,'MG Universe'!$A$2:$R$9994,5)</f>
        <v>F</v>
      </c>
      <c r="F383" s="20" t="str">
        <f>VLOOKUP($A383,'MG Universe'!$A$2:$R$9994,6)</f>
        <v>SF</v>
      </c>
      <c r="G383" s="103">
        <f>VLOOKUP($A383,'MG Universe'!$A$2:$R$9994,7)</f>
        <v>42009</v>
      </c>
      <c r="H383" s="22">
        <f>VLOOKUP($A383,'MG Universe'!$A$2:$R$9994,8)</f>
        <v>138.18</v>
      </c>
      <c r="I383" s="22">
        <f>VLOOKUP($A383,'MG Universe'!$A$2:$R$9994,9)</f>
        <v>104.14</v>
      </c>
      <c r="J383" s="23">
        <f>VLOOKUP($A383,'MG Universe'!$A$2:$R$9994,10)</f>
        <v>0.75370000000000004</v>
      </c>
      <c r="K383" s="105">
        <f>VLOOKUP($A383,'MG Universe'!$A$2:$R$9994,11)</f>
        <v>18.11</v>
      </c>
      <c r="L383" s="23">
        <f>VLOOKUP($A383,'MG Universe'!$A$2:$R$9994,12)</f>
        <v>2.8799999999999999E-2</v>
      </c>
      <c r="M383" s="106">
        <f>VLOOKUP($A383,'MG Universe'!$A$2:$R$9994,13)</f>
        <v>0.8</v>
      </c>
      <c r="N383" s="107">
        <f>VLOOKUP($A383,'MG Universe'!$A$2:$R$9994,14)</f>
        <v>1.03</v>
      </c>
      <c r="O383" s="22">
        <f>VLOOKUP($A383,'MG Universe'!$A$2:$R$9994,15)</f>
        <v>-36.5</v>
      </c>
      <c r="P383" s="23">
        <f>VLOOKUP($A383,'MG Universe'!$A$2:$R$9994,16)</f>
        <v>4.8099999999999997E-2</v>
      </c>
      <c r="Q383" s="109">
        <f>VLOOKUP($A383,'MG Universe'!$A$2:$R$9994,17)</f>
        <v>0</v>
      </c>
      <c r="R383" s="22">
        <f>VLOOKUP($A383,'MG Universe'!$A$2:$R$9994,18)</f>
        <v>0</v>
      </c>
    </row>
    <row r="384" spans="1:18" x14ac:dyDescent="0.55000000000000004">
      <c r="A384" s="18" t="s">
        <v>1117</v>
      </c>
      <c r="B384" s="19" t="str">
        <f>VLOOKUP($A384,'MG Universe'!$A$2:$R$9994,2)</f>
        <v>Pioneer Natural Resources</v>
      </c>
      <c r="C384" s="19" t="str">
        <f>VLOOKUP($A384,'MG Universe'!$A$2:$R$9994,3)</f>
        <v>F</v>
      </c>
      <c r="D384" s="19" t="str">
        <f>VLOOKUP($A384,'MG Universe'!$A$2:$R$9994,4)</f>
        <v>S</v>
      </c>
      <c r="E384" s="19" t="str">
        <f>VLOOKUP($A384,'MG Universe'!$A$2:$R$9994,5)</f>
        <v>O</v>
      </c>
      <c r="F384" s="20" t="str">
        <f>VLOOKUP($A384,'MG Universe'!$A$2:$R$9994,6)</f>
        <v>SO</v>
      </c>
      <c r="G384" s="103">
        <f>VLOOKUP($A384,'MG Universe'!$A$2:$R$9994,7)</f>
        <v>42009</v>
      </c>
      <c r="H384" s="22">
        <f>VLOOKUP($A384,'MG Universe'!$A$2:$R$9994,8)</f>
        <v>0</v>
      </c>
      <c r="I384" s="22">
        <f>VLOOKUP($A384,'MG Universe'!$A$2:$R$9994,9)</f>
        <v>131.15</v>
      </c>
      <c r="J384" s="23" t="str">
        <f>VLOOKUP($A384,'MG Universe'!$A$2:$R$9994,10)</f>
        <v>N/A</v>
      </c>
      <c r="K384" s="105">
        <f>VLOOKUP($A384,'MG Universe'!$A$2:$R$9994,11)</f>
        <v>92.36</v>
      </c>
      <c r="L384" s="23">
        <f>VLOOKUP($A384,'MG Universe'!$A$2:$R$9994,12)</f>
        <v>5.9999999999999995E-4</v>
      </c>
      <c r="M384" s="106">
        <f>VLOOKUP($A384,'MG Universe'!$A$2:$R$9994,13)</f>
        <v>1.4</v>
      </c>
      <c r="N384" s="107">
        <f>VLOOKUP($A384,'MG Universe'!$A$2:$R$9994,14)</f>
        <v>1.04</v>
      </c>
      <c r="O384" s="22">
        <f>VLOOKUP($A384,'MG Universe'!$A$2:$R$9994,15)</f>
        <v>-32.42</v>
      </c>
      <c r="P384" s="23">
        <f>VLOOKUP($A384,'MG Universe'!$A$2:$R$9994,16)</f>
        <v>0.41930000000000001</v>
      </c>
      <c r="Q384" s="109">
        <f>VLOOKUP($A384,'MG Universe'!$A$2:$R$9994,17)</f>
        <v>0</v>
      </c>
      <c r="R384" s="22">
        <f>VLOOKUP($A384,'MG Universe'!$A$2:$R$9994,18)</f>
        <v>0</v>
      </c>
    </row>
    <row r="385" spans="1:18" x14ac:dyDescent="0.55000000000000004">
      <c r="A385" s="18" t="s">
        <v>338</v>
      </c>
      <c r="B385" s="19" t="str">
        <f>VLOOKUP($A385,'MG Universe'!$A$2:$R$9994,2)</f>
        <v>QUALCOMM, Inc.</v>
      </c>
      <c r="C385" s="19" t="str">
        <f>VLOOKUP($A385,'MG Universe'!$A$2:$R$9994,3)</f>
        <v>B+</v>
      </c>
      <c r="D385" s="19" t="str">
        <f>VLOOKUP($A385,'MG Universe'!$A$2:$R$9994,4)</f>
        <v>D</v>
      </c>
      <c r="E385" s="19" t="str">
        <f>VLOOKUP($A385,'MG Universe'!$A$2:$R$9994,5)</f>
        <v>U</v>
      </c>
      <c r="F385" s="20" t="str">
        <f>VLOOKUP($A385,'MG Universe'!$A$2:$R$9994,6)</f>
        <v>DU</v>
      </c>
      <c r="G385" s="103">
        <f>VLOOKUP($A385,'MG Universe'!$A$2:$R$9994,7)</f>
        <v>42410</v>
      </c>
      <c r="H385" s="22">
        <f>VLOOKUP($A385,'MG Universe'!$A$2:$R$9994,8)</f>
        <v>92.28</v>
      </c>
      <c r="I385" s="22">
        <f>VLOOKUP($A385,'MG Universe'!$A$2:$R$9994,9)</f>
        <v>52.85</v>
      </c>
      <c r="J385" s="23">
        <f>VLOOKUP($A385,'MG Universe'!$A$2:$R$9994,10)</f>
        <v>0.57269999999999999</v>
      </c>
      <c r="K385" s="105">
        <f>VLOOKUP($A385,'MG Universe'!$A$2:$R$9994,11)</f>
        <v>13.91</v>
      </c>
      <c r="L385" s="23">
        <f>VLOOKUP($A385,'MG Universe'!$A$2:$R$9994,12)</f>
        <v>3.6299999999999999E-2</v>
      </c>
      <c r="M385" s="106">
        <f>VLOOKUP($A385,'MG Universe'!$A$2:$R$9994,13)</f>
        <v>1.2</v>
      </c>
      <c r="N385" s="107">
        <f>VLOOKUP($A385,'MG Universe'!$A$2:$R$9994,14)</f>
        <v>3.13</v>
      </c>
      <c r="O385" s="22">
        <f>VLOOKUP($A385,'MG Universe'!$A$2:$R$9994,15)</f>
        <v>0.23</v>
      </c>
      <c r="P385" s="23">
        <f>VLOOKUP($A385,'MG Universe'!$A$2:$R$9994,16)</f>
        <v>2.7E-2</v>
      </c>
      <c r="Q385" s="109">
        <f>VLOOKUP($A385,'MG Universe'!$A$2:$R$9994,17)</f>
        <v>14</v>
      </c>
      <c r="R385" s="22">
        <f>VLOOKUP($A385,'MG Universe'!$A$2:$R$9994,18)</f>
        <v>41.37</v>
      </c>
    </row>
    <row r="386" spans="1:18" x14ac:dyDescent="0.55000000000000004">
      <c r="A386" s="18" t="s">
        <v>803</v>
      </c>
      <c r="B386" s="19" t="str">
        <f>VLOOKUP($A386,'MG Universe'!$A$2:$R$9994,2)</f>
        <v>QEP Resources Inc</v>
      </c>
      <c r="C386" s="19" t="str">
        <f>VLOOKUP($A386,'MG Universe'!$A$2:$R$9994,3)</f>
        <v>D</v>
      </c>
      <c r="D386" s="19" t="str">
        <f>VLOOKUP($A386,'MG Universe'!$A$2:$R$9994,4)</f>
        <v>S</v>
      </c>
      <c r="E386" s="19" t="str">
        <f>VLOOKUP($A386,'MG Universe'!$A$2:$R$9994,5)</f>
        <v>O</v>
      </c>
      <c r="F386" s="20" t="str">
        <f>VLOOKUP($A386,'MG Universe'!$A$2:$R$9994,6)</f>
        <v>SO</v>
      </c>
      <c r="G386" s="103">
        <f>VLOOKUP($A386,'MG Universe'!$A$2:$R$9994,7)</f>
        <v>42050</v>
      </c>
      <c r="H386" s="22">
        <f>VLOOKUP($A386,'MG Universe'!$A$2:$R$9994,8)</f>
        <v>0</v>
      </c>
      <c r="I386" s="22">
        <f>VLOOKUP($A386,'MG Universe'!$A$2:$R$9994,9)</f>
        <v>10.199999999999999</v>
      </c>
      <c r="J386" s="23" t="str">
        <f>VLOOKUP($A386,'MG Universe'!$A$2:$R$9994,10)</f>
        <v>N/A</v>
      </c>
      <c r="K386" s="105">
        <f>VLOOKUP($A386,'MG Universe'!$A$2:$R$9994,11)</f>
        <v>8.9499999999999993</v>
      </c>
      <c r="L386" s="23" t="str">
        <f>VLOOKUP($A386,'MG Universe'!$A$2:$R$9994,12)</f>
        <v>N/A</v>
      </c>
      <c r="M386" s="106">
        <f>VLOOKUP($A386,'MG Universe'!$A$2:$R$9994,13)</f>
        <v>1.8</v>
      </c>
      <c r="N386" s="107">
        <f>VLOOKUP($A386,'MG Universe'!$A$2:$R$9994,14)</f>
        <v>0.83</v>
      </c>
      <c r="O386" s="22">
        <f>VLOOKUP($A386,'MG Universe'!$A$2:$R$9994,15)</f>
        <v>-32.85</v>
      </c>
      <c r="P386" s="23">
        <f>VLOOKUP($A386,'MG Universe'!$A$2:$R$9994,16)</f>
        <v>2.2000000000000001E-3</v>
      </c>
      <c r="Q386" s="109">
        <f>VLOOKUP($A386,'MG Universe'!$A$2:$R$9994,17)</f>
        <v>0</v>
      </c>
      <c r="R386" s="22">
        <f>VLOOKUP($A386,'MG Universe'!$A$2:$R$9994,18)</f>
        <v>0</v>
      </c>
    </row>
    <row r="387" spans="1:18" x14ac:dyDescent="0.55000000000000004">
      <c r="A387" s="18" t="s">
        <v>1119</v>
      </c>
      <c r="B387" s="19" t="str">
        <f>VLOOKUP($A387,'MG Universe'!$A$2:$R$9994,2)</f>
        <v>Qorvo Inc</v>
      </c>
      <c r="C387" s="19" t="str">
        <f>VLOOKUP($A387,'MG Universe'!$A$2:$R$9994,3)</f>
        <v>F</v>
      </c>
      <c r="D387" s="19" t="str">
        <f>VLOOKUP($A387,'MG Universe'!$A$2:$R$9994,4)</f>
        <v>S</v>
      </c>
      <c r="E387" s="19" t="str">
        <f>VLOOKUP($A387,'MG Universe'!$A$2:$R$9994,5)</f>
        <v>O</v>
      </c>
      <c r="F387" s="20" t="str">
        <f>VLOOKUP($A387,'MG Universe'!$A$2:$R$9994,6)</f>
        <v>SO</v>
      </c>
      <c r="G387" s="103">
        <f>VLOOKUP($A387,'MG Universe'!$A$2:$R$9994,7)</f>
        <v>42215</v>
      </c>
      <c r="H387" s="22">
        <f>VLOOKUP($A387,'MG Universe'!$A$2:$R$9994,8)</f>
        <v>37.33</v>
      </c>
      <c r="I387" s="22">
        <f>VLOOKUP($A387,'MG Universe'!$A$2:$R$9994,9)</f>
        <v>47.65</v>
      </c>
      <c r="J387" s="23">
        <f>VLOOKUP($A387,'MG Universe'!$A$2:$R$9994,10)</f>
        <v>1.2765</v>
      </c>
      <c r="K387" s="105">
        <f>VLOOKUP($A387,'MG Universe'!$A$2:$R$9994,11)</f>
        <v>49.12</v>
      </c>
      <c r="L387" s="23" t="str">
        <f>VLOOKUP($A387,'MG Universe'!$A$2:$R$9994,12)</f>
        <v>N/A</v>
      </c>
      <c r="M387" s="106" t="e">
        <f>VLOOKUP($A387,'MG Universe'!$A$2:$R$9994,13)</f>
        <v>#N/A</v>
      </c>
      <c r="N387" s="107">
        <f>VLOOKUP($A387,'MG Universe'!$A$2:$R$9994,14)</f>
        <v>4.62</v>
      </c>
      <c r="O387" s="22">
        <f>VLOOKUP($A387,'MG Universe'!$A$2:$R$9994,15)</f>
        <v>5.19</v>
      </c>
      <c r="P387" s="23">
        <f>VLOOKUP($A387,'MG Universe'!$A$2:$R$9994,16)</f>
        <v>0.2031</v>
      </c>
      <c r="Q387" s="109">
        <f>VLOOKUP($A387,'MG Universe'!$A$2:$R$9994,17)</f>
        <v>0</v>
      </c>
      <c r="R387" s="22">
        <f>VLOOKUP($A387,'MG Universe'!$A$2:$R$9994,18)</f>
        <v>0</v>
      </c>
    </row>
    <row r="388" spans="1:18" x14ac:dyDescent="0.55000000000000004">
      <c r="A388" s="18" t="s">
        <v>443</v>
      </c>
      <c r="B388" s="19" t="str">
        <f>VLOOKUP($A388,'MG Universe'!$A$2:$R$9994,2)</f>
        <v>Ryder System, Inc.</v>
      </c>
      <c r="C388" s="19" t="str">
        <f>VLOOKUP($A388,'MG Universe'!$A$2:$R$9994,3)</f>
        <v>C</v>
      </c>
      <c r="D388" s="19" t="str">
        <f>VLOOKUP($A388,'MG Universe'!$A$2:$R$9994,4)</f>
        <v>S</v>
      </c>
      <c r="E388" s="19" t="str">
        <f>VLOOKUP($A388,'MG Universe'!$A$2:$R$9994,5)</f>
        <v>U</v>
      </c>
      <c r="F388" s="20" t="str">
        <f>VLOOKUP($A388,'MG Universe'!$A$2:$R$9994,6)</f>
        <v>SU</v>
      </c>
      <c r="G388" s="103">
        <f>VLOOKUP($A388,'MG Universe'!$A$2:$R$9994,7)</f>
        <v>42050</v>
      </c>
      <c r="H388" s="22">
        <f>VLOOKUP($A388,'MG Universe'!$A$2:$R$9994,8)</f>
        <v>98.81</v>
      </c>
      <c r="I388" s="22">
        <f>VLOOKUP($A388,'MG Universe'!$A$2:$R$9994,9)</f>
        <v>58.52</v>
      </c>
      <c r="J388" s="23">
        <f>VLOOKUP($A388,'MG Universe'!$A$2:$R$9994,10)</f>
        <v>0.59219999999999995</v>
      </c>
      <c r="K388" s="105">
        <f>VLOOKUP($A388,'MG Universe'!$A$2:$R$9994,11)</f>
        <v>14.7</v>
      </c>
      <c r="L388" s="23">
        <f>VLOOKUP($A388,'MG Universe'!$A$2:$R$9994,12)</f>
        <v>2.8000000000000001E-2</v>
      </c>
      <c r="M388" s="106">
        <f>VLOOKUP($A388,'MG Universe'!$A$2:$R$9994,13)</f>
        <v>1.7</v>
      </c>
      <c r="N388" s="107">
        <f>VLOOKUP($A388,'MG Universe'!$A$2:$R$9994,14)</f>
        <v>0.98</v>
      </c>
      <c r="O388" s="22">
        <f>VLOOKUP($A388,'MG Universe'!$A$2:$R$9994,15)</f>
        <v>-127.87</v>
      </c>
      <c r="P388" s="23">
        <f>VLOOKUP($A388,'MG Universe'!$A$2:$R$9994,16)</f>
        <v>3.1E-2</v>
      </c>
      <c r="Q388" s="109">
        <f>VLOOKUP($A388,'MG Universe'!$A$2:$R$9994,17)</f>
        <v>0</v>
      </c>
      <c r="R388" s="22">
        <f>VLOOKUP($A388,'MG Universe'!$A$2:$R$9994,18)</f>
        <v>0</v>
      </c>
    </row>
    <row r="389" spans="1:18" x14ac:dyDescent="0.55000000000000004">
      <c r="A389" s="18" t="s">
        <v>594</v>
      </c>
      <c r="B389" s="19" t="str">
        <f>VLOOKUP($A389,'MG Universe'!$A$2:$R$9994,2)</f>
        <v>Reynolds American, Inc.</v>
      </c>
      <c r="C389" s="19" t="str">
        <f>VLOOKUP($A389,'MG Universe'!$A$2:$R$9994,3)</f>
        <v>C-</v>
      </c>
      <c r="D389" s="19" t="str">
        <f>VLOOKUP($A389,'MG Universe'!$A$2:$R$9994,4)</f>
        <v>S</v>
      </c>
      <c r="E389" s="19" t="str">
        <f>VLOOKUP($A389,'MG Universe'!$A$2:$R$9994,5)</f>
        <v>F</v>
      </c>
      <c r="F389" s="20" t="str">
        <f>VLOOKUP($A389,'MG Universe'!$A$2:$R$9994,6)</f>
        <v>SF</v>
      </c>
      <c r="G389" s="103">
        <f>VLOOKUP($A389,'MG Universe'!$A$2:$R$9994,7)</f>
        <v>42064</v>
      </c>
      <c r="H389" s="22">
        <f>VLOOKUP($A389,'MG Universe'!$A$2:$R$9994,8)</f>
        <v>50.21</v>
      </c>
      <c r="I389" s="22">
        <f>VLOOKUP($A389,'MG Universe'!$A$2:$R$9994,9)</f>
        <v>50.51</v>
      </c>
      <c r="J389" s="23">
        <f>VLOOKUP($A389,'MG Universe'!$A$2:$R$9994,10)</f>
        <v>1.006</v>
      </c>
      <c r="K389" s="105">
        <f>VLOOKUP($A389,'MG Universe'!$A$2:$R$9994,11)</f>
        <v>19.059999999999999</v>
      </c>
      <c r="L389" s="23">
        <f>VLOOKUP($A389,'MG Universe'!$A$2:$R$9994,12)</f>
        <v>3.3300000000000003E-2</v>
      </c>
      <c r="M389" s="106">
        <f>VLOOKUP($A389,'MG Universe'!$A$2:$R$9994,13)</f>
        <v>0.4</v>
      </c>
      <c r="N389" s="107">
        <f>VLOOKUP($A389,'MG Universe'!$A$2:$R$9994,14)</f>
        <v>0.94</v>
      </c>
      <c r="O389" s="22">
        <f>VLOOKUP($A389,'MG Universe'!$A$2:$R$9994,15)</f>
        <v>-13.78</v>
      </c>
      <c r="P389" s="23">
        <f>VLOOKUP($A389,'MG Universe'!$A$2:$R$9994,16)</f>
        <v>5.28E-2</v>
      </c>
      <c r="Q389" s="109">
        <f>VLOOKUP($A389,'MG Universe'!$A$2:$R$9994,17)</f>
        <v>0</v>
      </c>
      <c r="R389" s="22">
        <f>VLOOKUP($A389,'MG Universe'!$A$2:$R$9994,18)</f>
        <v>0</v>
      </c>
    </row>
    <row r="390" spans="1:18" x14ac:dyDescent="0.55000000000000004">
      <c r="A390" s="18" t="s">
        <v>1166</v>
      </c>
      <c r="B390" s="19" t="str">
        <f>VLOOKUP($A390,'MG Universe'!$A$2:$R$9994,2)</f>
        <v>Regal Beloit Corp</v>
      </c>
      <c r="C390" s="19" t="str">
        <f>VLOOKUP($A390,'MG Universe'!$A$2:$R$9994,3)</f>
        <v>D</v>
      </c>
      <c r="D390" s="19" t="str">
        <f>VLOOKUP($A390,'MG Universe'!$A$2:$R$9994,4)</f>
        <v>S</v>
      </c>
      <c r="E390" s="19" t="str">
        <f>VLOOKUP($A390,'MG Universe'!$A$2:$R$9994,5)</f>
        <v>O</v>
      </c>
      <c r="F390" s="20" t="str">
        <f>VLOOKUP($A390,'MG Universe'!$A$2:$R$9994,6)</f>
        <v>SO</v>
      </c>
      <c r="G390" s="103">
        <f>VLOOKUP($A390,'MG Universe'!$A$2:$R$9994,7)</f>
        <v>42171</v>
      </c>
      <c r="H390" s="22">
        <f>VLOOKUP($A390,'MG Universe'!$A$2:$R$9994,8)</f>
        <v>22.48</v>
      </c>
      <c r="I390" s="22">
        <f>VLOOKUP($A390,'MG Universe'!$A$2:$R$9994,9)</f>
        <v>56.17</v>
      </c>
      <c r="J390" s="23">
        <f>VLOOKUP($A390,'MG Universe'!$A$2:$R$9994,10)</f>
        <v>2.4986999999999999</v>
      </c>
      <c r="K390" s="105">
        <f>VLOOKUP($A390,'MG Universe'!$A$2:$R$9994,11)</f>
        <v>16.77</v>
      </c>
      <c r="L390" s="23">
        <f>VLOOKUP($A390,'MG Universe'!$A$2:$R$9994,12)</f>
        <v>1.6400000000000001E-2</v>
      </c>
      <c r="M390" s="106">
        <f>VLOOKUP($A390,'MG Universe'!$A$2:$R$9994,13)</f>
        <v>1.6</v>
      </c>
      <c r="N390" s="107">
        <f>VLOOKUP($A390,'MG Universe'!$A$2:$R$9994,14)</f>
        <v>2.5</v>
      </c>
      <c r="O390" s="22">
        <f>VLOOKUP($A390,'MG Universe'!$A$2:$R$9994,15)</f>
        <v>-27.07</v>
      </c>
      <c r="P390" s="23">
        <f>VLOOKUP($A390,'MG Universe'!$A$2:$R$9994,16)</f>
        <v>4.1300000000000003E-2</v>
      </c>
      <c r="Q390" s="109">
        <f>VLOOKUP($A390,'MG Universe'!$A$2:$R$9994,17)</f>
        <v>0</v>
      </c>
      <c r="R390" s="22">
        <f>VLOOKUP($A390,'MG Universe'!$A$2:$R$9994,18)</f>
        <v>0</v>
      </c>
    </row>
    <row r="391" spans="1:18" x14ac:dyDescent="0.55000000000000004">
      <c r="A391" s="18" t="s">
        <v>1121</v>
      </c>
      <c r="B391" s="19" t="str">
        <f>VLOOKUP($A391,'MG Universe'!$A$2:$R$9994,2)</f>
        <v>Regeneron Pharmaceuticals Inc</v>
      </c>
      <c r="C391" s="19" t="str">
        <f>VLOOKUP($A391,'MG Universe'!$A$2:$R$9994,3)</f>
        <v>F</v>
      </c>
      <c r="D391" s="19" t="str">
        <f>VLOOKUP($A391,'MG Universe'!$A$2:$R$9994,4)</f>
        <v>S</v>
      </c>
      <c r="E391" s="19" t="str">
        <f>VLOOKUP($A391,'MG Universe'!$A$2:$R$9994,5)</f>
        <v>O</v>
      </c>
      <c r="F391" s="20" t="str">
        <f>VLOOKUP($A391,'MG Universe'!$A$2:$R$9994,6)</f>
        <v>SO</v>
      </c>
      <c r="G391" s="103">
        <f>VLOOKUP($A391,'MG Universe'!$A$2:$R$9994,7)</f>
        <v>42102</v>
      </c>
      <c r="H391" s="22">
        <f>VLOOKUP($A391,'MG Universe'!$A$2:$R$9994,8)</f>
        <v>114.68</v>
      </c>
      <c r="I391" s="22">
        <f>VLOOKUP($A391,'MG Universe'!$A$2:$R$9994,9)</f>
        <v>407.81</v>
      </c>
      <c r="J391" s="23">
        <f>VLOOKUP($A391,'MG Universe'!$A$2:$R$9994,10)</f>
        <v>3.5560999999999998</v>
      </c>
      <c r="K391" s="105">
        <f>VLOOKUP($A391,'MG Universe'!$A$2:$R$9994,11)</f>
        <v>136.85</v>
      </c>
      <c r="L391" s="23" t="str">
        <f>VLOOKUP($A391,'MG Universe'!$A$2:$R$9994,12)</f>
        <v>N/A</v>
      </c>
      <c r="M391" s="106">
        <f>VLOOKUP($A391,'MG Universe'!$A$2:$R$9994,13)</f>
        <v>1.2</v>
      </c>
      <c r="N391" s="107">
        <f>VLOOKUP($A391,'MG Universe'!$A$2:$R$9994,14)</f>
        <v>3.31</v>
      </c>
      <c r="O391" s="22">
        <f>VLOOKUP($A391,'MG Universe'!$A$2:$R$9994,15)</f>
        <v>7.34</v>
      </c>
      <c r="P391" s="23">
        <f>VLOOKUP($A391,'MG Universe'!$A$2:$R$9994,16)</f>
        <v>0.64170000000000005</v>
      </c>
      <c r="Q391" s="109">
        <f>VLOOKUP($A391,'MG Universe'!$A$2:$R$9994,17)</f>
        <v>0</v>
      </c>
      <c r="R391" s="22">
        <f>VLOOKUP($A391,'MG Universe'!$A$2:$R$9994,18)</f>
        <v>0</v>
      </c>
    </row>
    <row r="392" spans="1:18" x14ac:dyDescent="0.55000000000000004">
      <c r="A392" s="18" t="s">
        <v>596</v>
      </c>
      <c r="B392" s="19" t="str">
        <f>VLOOKUP($A392,'MG Universe'!$A$2:$R$9994,2)</f>
        <v>Regions Financial Corp</v>
      </c>
      <c r="C392" s="19" t="str">
        <f>VLOOKUP($A392,'MG Universe'!$A$2:$R$9994,3)</f>
        <v>C-</v>
      </c>
      <c r="D392" s="19" t="str">
        <f>VLOOKUP($A392,'MG Universe'!$A$2:$R$9994,4)</f>
        <v>S</v>
      </c>
      <c r="E392" s="19" t="str">
        <f>VLOOKUP($A392,'MG Universe'!$A$2:$R$9994,5)</f>
        <v>U</v>
      </c>
      <c r="F392" s="20" t="str">
        <f>VLOOKUP($A392,'MG Universe'!$A$2:$R$9994,6)</f>
        <v>SU</v>
      </c>
      <c r="G392" s="103">
        <f>VLOOKUP($A392,'MG Universe'!$A$2:$R$9994,7)</f>
        <v>42031</v>
      </c>
      <c r="H392" s="22">
        <f>VLOOKUP($A392,'MG Universe'!$A$2:$R$9994,8)</f>
        <v>20.3</v>
      </c>
      <c r="I392" s="22">
        <f>VLOOKUP($A392,'MG Universe'!$A$2:$R$9994,9)</f>
        <v>8.1199999999999992</v>
      </c>
      <c r="J392" s="23">
        <f>VLOOKUP($A392,'MG Universe'!$A$2:$R$9994,10)</f>
        <v>0.4</v>
      </c>
      <c r="K392" s="105">
        <f>VLOOKUP($A392,'MG Universe'!$A$2:$R$9994,11)</f>
        <v>15.32</v>
      </c>
      <c r="L392" s="23">
        <f>VLOOKUP($A392,'MG Universe'!$A$2:$R$9994,12)</f>
        <v>2.9600000000000001E-2</v>
      </c>
      <c r="M392" s="106">
        <f>VLOOKUP($A392,'MG Universe'!$A$2:$R$9994,13)</f>
        <v>1.9</v>
      </c>
      <c r="N392" s="107" t="str">
        <f>VLOOKUP($A392,'MG Universe'!$A$2:$R$9994,14)</f>
        <v>N/A</v>
      </c>
      <c r="O392" s="22" t="str">
        <f>VLOOKUP($A392,'MG Universe'!$A$2:$R$9994,15)</f>
        <v>N/A</v>
      </c>
      <c r="P392" s="23">
        <f>VLOOKUP($A392,'MG Universe'!$A$2:$R$9994,16)</f>
        <v>3.4099999999999998E-2</v>
      </c>
      <c r="Q392" s="109">
        <f>VLOOKUP($A392,'MG Universe'!$A$2:$R$9994,17)</f>
        <v>0</v>
      </c>
      <c r="R392" s="22">
        <f>VLOOKUP($A392,'MG Universe'!$A$2:$R$9994,18)</f>
        <v>0</v>
      </c>
    </row>
    <row r="393" spans="1:18" x14ac:dyDescent="0.55000000000000004">
      <c r="A393" s="18" t="s">
        <v>340</v>
      </c>
      <c r="B393" s="19" t="str">
        <f>VLOOKUP($A393,'MG Universe'!$A$2:$R$9994,2)</f>
        <v>Robert Half International Inc.</v>
      </c>
      <c r="C393" s="19" t="str">
        <f>VLOOKUP($A393,'MG Universe'!$A$2:$R$9994,3)</f>
        <v>B+</v>
      </c>
      <c r="D393" s="19" t="str">
        <f>VLOOKUP($A393,'MG Universe'!$A$2:$R$9994,4)</f>
        <v>D</v>
      </c>
      <c r="E393" s="19" t="str">
        <f>VLOOKUP($A393,'MG Universe'!$A$2:$R$9994,5)</f>
        <v>U</v>
      </c>
      <c r="F393" s="20" t="str">
        <f>VLOOKUP($A393,'MG Universe'!$A$2:$R$9994,6)</f>
        <v>DU</v>
      </c>
      <c r="G393" s="103">
        <f>VLOOKUP($A393,'MG Universe'!$A$2:$R$9994,7)</f>
        <v>42411</v>
      </c>
      <c r="H393" s="22">
        <f>VLOOKUP($A393,'MG Universe'!$A$2:$R$9994,8)</f>
        <v>94.84</v>
      </c>
      <c r="I393" s="22">
        <f>VLOOKUP($A393,'MG Universe'!$A$2:$R$9994,9)</f>
        <v>40.619999999999997</v>
      </c>
      <c r="J393" s="23">
        <f>VLOOKUP($A393,'MG Universe'!$A$2:$R$9994,10)</f>
        <v>0.42830000000000001</v>
      </c>
      <c r="K393" s="105">
        <f>VLOOKUP($A393,'MG Universe'!$A$2:$R$9994,11)</f>
        <v>16.510000000000002</v>
      </c>
      <c r="L393" s="23">
        <f>VLOOKUP($A393,'MG Universe'!$A$2:$R$9994,12)</f>
        <v>2.1700000000000001E-2</v>
      </c>
      <c r="M393" s="106">
        <f>VLOOKUP($A393,'MG Universe'!$A$2:$R$9994,13)</f>
        <v>1.3</v>
      </c>
      <c r="N393" s="107">
        <f>VLOOKUP($A393,'MG Universe'!$A$2:$R$9994,14)</f>
        <v>2.08</v>
      </c>
      <c r="O393" s="22">
        <f>VLOOKUP($A393,'MG Universe'!$A$2:$R$9994,15)</f>
        <v>-5.26</v>
      </c>
      <c r="P393" s="23">
        <f>VLOOKUP($A393,'MG Universe'!$A$2:$R$9994,16)</f>
        <v>4.0099999999999997E-2</v>
      </c>
      <c r="Q393" s="109">
        <f>VLOOKUP($A393,'MG Universe'!$A$2:$R$9994,17)</f>
        <v>4</v>
      </c>
      <c r="R393" s="22">
        <f>VLOOKUP($A393,'MG Universe'!$A$2:$R$9994,18)</f>
        <v>22</v>
      </c>
    </row>
    <row r="394" spans="1:18" x14ac:dyDescent="0.55000000000000004">
      <c r="A394" s="18" t="s">
        <v>1123</v>
      </c>
      <c r="B394" s="19" t="str">
        <f>VLOOKUP($A394,'MG Universe'!$A$2:$R$9994,2)</f>
        <v>Red Hat Inc</v>
      </c>
      <c r="C394" s="19" t="str">
        <f>VLOOKUP($A394,'MG Universe'!$A$2:$R$9994,3)</f>
        <v>F</v>
      </c>
      <c r="D394" s="19" t="str">
        <f>VLOOKUP($A394,'MG Universe'!$A$2:$R$9994,4)</f>
        <v>S</v>
      </c>
      <c r="E394" s="19" t="str">
        <f>VLOOKUP($A394,'MG Universe'!$A$2:$R$9994,5)</f>
        <v>O</v>
      </c>
      <c r="F394" s="20" t="str">
        <f>VLOOKUP($A394,'MG Universe'!$A$2:$R$9994,6)</f>
        <v>SO</v>
      </c>
      <c r="G394" s="103">
        <f>VLOOKUP($A394,'MG Universe'!$A$2:$R$9994,7)</f>
        <v>42132</v>
      </c>
      <c r="H394" s="22">
        <f>VLOOKUP($A394,'MG Universe'!$A$2:$R$9994,8)</f>
        <v>30.53</v>
      </c>
      <c r="I394" s="22">
        <f>VLOOKUP($A394,'MG Universe'!$A$2:$R$9994,9)</f>
        <v>68.28</v>
      </c>
      <c r="J394" s="23">
        <f>VLOOKUP($A394,'MG Universe'!$A$2:$R$9994,10)</f>
        <v>2.2364999999999999</v>
      </c>
      <c r="K394" s="105">
        <f>VLOOKUP($A394,'MG Universe'!$A$2:$R$9994,11)</f>
        <v>79.400000000000006</v>
      </c>
      <c r="L394" s="23" t="str">
        <f>VLOOKUP($A394,'MG Universe'!$A$2:$R$9994,12)</f>
        <v>N/A</v>
      </c>
      <c r="M394" s="106">
        <f>VLOOKUP($A394,'MG Universe'!$A$2:$R$9994,13)</f>
        <v>1.3</v>
      </c>
      <c r="N394" s="107">
        <f>VLOOKUP($A394,'MG Universe'!$A$2:$R$9994,14)</f>
        <v>1.48</v>
      </c>
      <c r="O394" s="22">
        <f>VLOOKUP($A394,'MG Universe'!$A$2:$R$9994,15)</f>
        <v>-2.92</v>
      </c>
      <c r="P394" s="23">
        <f>VLOOKUP($A394,'MG Universe'!$A$2:$R$9994,16)</f>
        <v>0.35449999999999998</v>
      </c>
      <c r="Q394" s="109">
        <f>VLOOKUP($A394,'MG Universe'!$A$2:$R$9994,17)</f>
        <v>0</v>
      </c>
      <c r="R394" s="22">
        <f>VLOOKUP($A394,'MG Universe'!$A$2:$R$9994,18)</f>
        <v>0</v>
      </c>
    </row>
    <row r="395" spans="1:18" x14ac:dyDescent="0.55000000000000004">
      <c r="A395" s="18" t="s">
        <v>1125</v>
      </c>
      <c r="B395" s="19" t="str">
        <f>VLOOKUP($A395,'MG Universe'!$A$2:$R$9994,2)</f>
        <v>Transocean LTD</v>
      </c>
      <c r="C395" s="19" t="str">
        <f>VLOOKUP($A395,'MG Universe'!$A$2:$R$9994,3)</f>
        <v>F</v>
      </c>
      <c r="D395" s="19" t="str">
        <f>VLOOKUP($A395,'MG Universe'!$A$2:$R$9994,4)</f>
        <v>S</v>
      </c>
      <c r="E395" s="19" t="str">
        <f>VLOOKUP($A395,'MG Universe'!$A$2:$R$9994,5)</f>
        <v>O</v>
      </c>
      <c r="F395" s="20" t="str">
        <f>VLOOKUP($A395,'MG Universe'!$A$2:$R$9994,6)</f>
        <v>SO</v>
      </c>
      <c r="G395" s="103">
        <f>VLOOKUP($A395,'MG Universe'!$A$2:$R$9994,7)</f>
        <v>42138</v>
      </c>
      <c r="H395" s="22">
        <f>VLOOKUP($A395,'MG Universe'!$A$2:$R$9994,8)</f>
        <v>0</v>
      </c>
      <c r="I395" s="22">
        <f>VLOOKUP($A395,'MG Universe'!$A$2:$R$9994,9)</f>
        <v>9.85</v>
      </c>
      <c r="J395" s="23" t="str">
        <f>VLOOKUP($A395,'MG Universe'!$A$2:$R$9994,10)</f>
        <v>N/A</v>
      </c>
      <c r="K395" s="105" t="str">
        <f>VLOOKUP($A395,'MG Universe'!$A$2:$R$9994,11)</f>
        <v>N/A</v>
      </c>
      <c r="L395" s="23" t="str">
        <f>VLOOKUP($A395,'MG Universe'!$A$2:$R$9994,12)</f>
        <v>N/A</v>
      </c>
      <c r="M395" s="106">
        <f>VLOOKUP($A395,'MG Universe'!$A$2:$R$9994,13)</f>
        <v>1.9</v>
      </c>
      <c r="N395" s="107">
        <f>VLOOKUP($A395,'MG Universe'!$A$2:$R$9994,14)</f>
        <v>1.84</v>
      </c>
      <c r="O395" s="22">
        <f>VLOOKUP($A395,'MG Universe'!$A$2:$R$9994,15)</f>
        <v>-22.21</v>
      </c>
      <c r="P395" s="23">
        <f>VLOOKUP($A395,'MG Universe'!$A$2:$R$9994,16)</f>
        <v>-7.51E-2</v>
      </c>
      <c r="Q395" s="109">
        <f>VLOOKUP($A395,'MG Universe'!$A$2:$R$9994,17)</f>
        <v>0</v>
      </c>
      <c r="R395" s="22">
        <f>VLOOKUP($A395,'MG Universe'!$A$2:$R$9994,18)</f>
        <v>0</v>
      </c>
    </row>
    <row r="396" spans="1:18" x14ac:dyDescent="0.55000000000000004">
      <c r="A396" s="18" t="s">
        <v>199</v>
      </c>
      <c r="B396" s="19" t="str">
        <f>VLOOKUP($A396,'MG Universe'!$A$2:$R$9994,2)</f>
        <v>Ralph Lauren Corp</v>
      </c>
      <c r="C396" s="19" t="str">
        <f>VLOOKUP($A396,'MG Universe'!$A$2:$R$9994,3)</f>
        <v>B</v>
      </c>
      <c r="D396" s="19" t="str">
        <f>VLOOKUP($A396,'MG Universe'!$A$2:$R$9994,4)</f>
        <v>D</v>
      </c>
      <c r="E396" s="19" t="str">
        <f>VLOOKUP($A396,'MG Universe'!$A$2:$R$9994,5)</f>
        <v>F</v>
      </c>
      <c r="F396" s="20" t="str">
        <f>VLOOKUP($A396,'MG Universe'!$A$2:$R$9994,6)</f>
        <v>DF</v>
      </c>
      <c r="G396" s="103">
        <f>VLOOKUP($A396,'MG Universe'!$A$2:$R$9994,7)</f>
        <v>42416</v>
      </c>
      <c r="H396" s="22">
        <f>VLOOKUP($A396,'MG Universe'!$A$2:$R$9994,8)</f>
        <v>107.23</v>
      </c>
      <c r="I396" s="22">
        <f>VLOOKUP($A396,'MG Universe'!$A$2:$R$9994,9)</f>
        <v>94.57</v>
      </c>
      <c r="J396" s="23">
        <f>VLOOKUP($A396,'MG Universe'!$A$2:$R$9994,10)</f>
        <v>0.88190000000000002</v>
      </c>
      <c r="K396" s="105">
        <f>VLOOKUP($A396,'MG Universe'!$A$2:$R$9994,11)</f>
        <v>13.59</v>
      </c>
      <c r="L396" s="23">
        <f>VLOOKUP($A396,'MG Universe'!$A$2:$R$9994,12)</f>
        <v>2.1100000000000001E-2</v>
      </c>
      <c r="M396" s="106">
        <f>VLOOKUP($A396,'MG Universe'!$A$2:$R$9994,13)</f>
        <v>1</v>
      </c>
      <c r="N396" s="107">
        <f>VLOOKUP($A396,'MG Universe'!$A$2:$R$9994,14)</f>
        <v>2.84</v>
      </c>
      <c r="O396" s="22">
        <f>VLOOKUP($A396,'MG Universe'!$A$2:$R$9994,15)</f>
        <v>10.7</v>
      </c>
      <c r="P396" s="23">
        <f>VLOOKUP($A396,'MG Universe'!$A$2:$R$9994,16)</f>
        <v>2.5399999999999999E-2</v>
      </c>
      <c r="Q396" s="109">
        <f>VLOOKUP($A396,'MG Universe'!$A$2:$R$9994,17)</f>
        <v>7</v>
      </c>
      <c r="R396" s="22">
        <f>VLOOKUP($A396,'MG Universe'!$A$2:$R$9994,18)</f>
        <v>70.59</v>
      </c>
    </row>
    <row r="397" spans="1:18" x14ac:dyDescent="0.55000000000000004">
      <c r="A397" s="18" t="s">
        <v>269</v>
      </c>
      <c r="B397" s="19" t="str">
        <f>VLOOKUP($A397,'MG Universe'!$A$2:$R$9994,2)</f>
        <v>Rockwell Automation</v>
      </c>
      <c r="C397" s="19" t="str">
        <f>VLOOKUP($A397,'MG Universe'!$A$2:$R$9994,3)</f>
        <v>B-</v>
      </c>
      <c r="D397" s="19" t="str">
        <f>VLOOKUP($A397,'MG Universe'!$A$2:$R$9994,4)</f>
        <v>E</v>
      </c>
      <c r="E397" s="19" t="str">
        <f>VLOOKUP($A397,'MG Universe'!$A$2:$R$9994,5)</f>
        <v>F</v>
      </c>
      <c r="F397" s="20" t="str">
        <f>VLOOKUP($A397,'MG Universe'!$A$2:$R$9994,6)</f>
        <v>EF</v>
      </c>
      <c r="G397" s="103">
        <f>VLOOKUP($A397,'MG Universe'!$A$2:$R$9994,7)</f>
        <v>42401</v>
      </c>
      <c r="H397" s="22">
        <f>VLOOKUP($A397,'MG Universe'!$A$2:$R$9994,8)</f>
        <v>112.84</v>
      </c>
      <c r="I397" s="22">
        <f>VLOOKUP($A397,'MG Universe'!$A$2:$R$9994,9)</f>
        <v>107.34</v>
      </c>
      <c r="J397" s="23">
        <f>VLOOKUP($A397,'MG Universe'!$A$2:$R$9994,10)</f>
        <v>0.95130000000000003</v>
      </c>
      <c r="K397" s="105">
        <f>VLOOKUP($A397,'MG Universe'!$A$2:$R$9994,11)</f>
        <v>18.96</v>
      </c>
      <c r="L397" s="23">
        <f>VLOOKUP($A397,'MG Universe'!$A$2:$R$9994,12)</f>
        <v>2.7E-2</v>
      </c>
      <c r="M397" s="106">
        <f>VLOOKUP($A397,'MG Universe'!$A$2:$R$9994,13)</f>
        <v>1.3</v>
      </c>
      <c r="N397" s="107">
        <f>VLOOKUP($A397,'MG Universe'!$A$2:$R$9994,14)</f>
        <v>6.02</v>
      </c>
      <c r="O397" s="22">
        <f>VLOOKUP($A397,'MG Universe'!$A$2:$R$9994,15)</f>
        <v>-2.91</v>
      </c>
      <c r="P397" s="23">
        <f>VLOOKUP($A397,'MG Universe'!$A$2:$R$9994,16)</f>
        <v>5.2299999999999999E-2</v>
      </c>
      <c r="Q397" s="109">
        <f>VLOOKUP($A397,'MG Universe'!$A$2:$R$9994,17)</f>
        <v>7</v>
      </c>
      <c r="R397" s="22">
        <f>VLOOKUP($A397,'MG Universe'!$A$2:$R$9994,18)</f>
        <v>45.3</v>
      </c>
    </row>
    <row r="398" spans="1:18" x14ac:dyDescent="0.55000000000000004">
      <c r="A398" s="18" t="s">
        <v>445</v>
      </c>
      <c r="B398" s="19" t="str">
        <f>VLOOKUP($A398,'MG Universe'!$A$2:$R$9994,2)</f>
        <v>Roper Technologies Inc</v>
      </c>
      <c r="C398" s="19" t="str">
        <f>VLOOKUP($A398,'MG Universe'!$A$2:$R$9994,3)</f>
        <v>C</v>
      </c>
      <c r="D398" s="19" t="str">
        <f>VLOOKUP($A398,'MG Universe'!$A$2:$R$9994,4)</f>
        <v>E</v>
      </c>
      <c r="E398" s="19" t="str">
        <f>VLOOKUP($A398,'MG Universe'!$A$2:$R$9994,5)</f>
        <v>F</v>
      </c>
      <c r="F398" s="20" t="str">
        <f>VLOOKUP($A398,'MG Universe'!$A$2:$R$9994,6)</f>
        <v>EF</v>
      </c>
      <c r="G398" s="103">
        <f>VLOOKUP($A398,'MG Universe'!$A$2:$R$9994,7)</f>
        <v>42395</v>
      </c>
      <c r="H398" s="22">
        <f>VLOOKUP($A398,'MG Universe'!$A$2:$R$9994,8)</f>
        <v>180.15</v>
      </c>
      <c r="I398" s="22">
        <f>VLOOKUP($A398,'MG Universe'!$A$2:$R$9994,9)</f>
        <v>171.43</v>
      </c>
      <c r="J398" s="23">
        <f>VLOOKUP($A398,'MG Universe'!$A$2:$R$9994,10)</f>
        <v>0.9516</v>
      </c>
      <c r="K398" s="105">
        <f>VLOOKUP($A398,'MG Universe'!$A$2:$R$9994,11)</f>
        <v>28.91</v>
      </c>
      <c r="L398" s="23">
        <f>VLOOKUP($A398,'MG Universe'!$A$2:$R$9994,12)</f>
        <v>7.0000000000000001E-3</v>
      </c>
      <c r="M398" s="106">
        <f>VLOOKUP($A398,'MG Universe'!$A$2:$R$9994,13)</f>
        <v>1</v>
      </c>
      <c r="N398" s="107">
        <f>VLOOKUP($A398,'MG Universe'!$A$2:$R$9994,14)</f>
        <v>2.5099999999999998</v>
      </c>
      <c r="O398" s="22">
        <f>VLOOKUP($A398,'MG Universe'!$A$2:$R$9994,15)</f>
        <v>-26.14</v>
      </c>
      <c r="P398" s="23">
        <f>VLOOKUP($A398,'MG Universe'!$A$2:$R$9994,16)</f>
        <v>0.10199999999999999</v>
      </c>
      <c r="Q398" s="109">
        <f>VLOOKUP($A398,'MG Universe'!$A$2:$R$9994,17)</f>
        <v>2</v>
      </c>
      <c r="R398" s="22">
        <f>VLOOKUP($A398,'MG Universe'!$A$2:$R$9994,18)</f>
        <v>87.25</v>
      </c>
    </row>
    <row r="399" spans="1:18" x14ac:dyDescent="0.55000000000000004">
      <c r="A399" s="18" t="s">
        <v>342</v>
      </c>
      <c r="B399" s="19" t="str">
        <f>VLOOKUP($A399,'MG Universe'!$A$2:$R$9994,2)</f>
        <v>Ross Stores, Inc.</v>
      </c>
      <c r="C399" s="19" t="str">
        <f>VLOOKUP($A399,'MG Universe'!$A$2:$R$9994,3)</f>
        <v>B+</v>
      </c>
      <c r="D399" s="19" t="str">
        <f>VLOOKUP($A399,'MG Universe'!$A$2:$R$9994,4)</f>
        <v>E</v>
      </c>
      <c r="E399" s="19" t="str">
        <f>VLOOKUP($A399,'MG Universe'!$A$2:$R$9994,5)</f>
        <v>U</v>
      </c>
      <c r="F399" s="20" t="str">
        <f>VLOOKUP($A399,'MG Universe'!$A$2:$R$9994,6)</f>
        <v>EU</v>
      </c>
      <c r="G399" s="103">
        <f>VLOOKUP($A399,'MG Universe'!$A$2:$R$9994,7)</f>
        <v>42348</v>
      </c>
      <c r="H399" s="22">
        <f>VLOOKUP($A399,'MG Universe'!$A$2:$R$9994,8)</f>
        <v>81.25</v>
      </c>
      <c r="I399" s="22">
        <f>VLOOKUP($A399,'MG Universe'!$A$2:$R$9994,9)</f>
        <v>57.74</v>
      </c>
      <c r="J399" s="23">
        <f>VLOOKUP($A399,'MG Universe'!$A$2:$R$9994,10)</f>
        <v>0.71060000000000001</v>
      </c>
      <c r="K399" s="105">
        <f>VLOOKUP($A399,'MG Universe'!$A$2:$R$9994,11)</f>
        <v>27.11</v>
      </c>
      <c r="L399" s="23">
        <f>VLOOKUP($A399,'MG Universe'!$A$2:$R$9994,12)</f>
        <v>8.0999999999999996E-3</v>
      </c>
      <c r="M399" s="106">
        <f>VLOOKUP($A399,'MG Universe'!$A$2:$R$9994,13)</f>
        <v>0.8</v>
      </c>
      <c r="N399" s="107">
        <f>VLOOKUP($A399,'MG Universe'!$A$2:$R$9994,14)</f>
        <v>1.39</v>
      </c>
      <c r="O399" s="22">
        <f>VLOOKUP($A399,'MG Universe'!$A$2:$R$9994,15)</f>
        <v>-0.19</v>
      </c>
      <c r="P399" s="23">
        <f>VLOOKUP($A399,'MG Universe'!$A$2:$R$9994,16)</f>
        <v>9.2999999999999999E-2</v>
      </c>
      <c r="Q399" s="109">
        <f>VLOOKUP($A399,'MG Universe'!$A$2:$R$9994,17)</f>
        <v>20</v>
      </c>
      <c r="R399" s="22">
        <f>VLOOKUP($A399,'MG Universe'!$A$2:$R$9994,18)</f>
        <v>18.04</v>
      </c>
    </row>
    <row r="400" spans="1:18" x14ac:dyDescent="0.55000000000000004">
      <c r="A400" s="18" t="s">
        <v>809</v>
      </c>
      <c r="B400" s="19" t="str">
        <f>VLOOKUP($A400,'MG Universe'!$A$2:$R$9994,2)</f>
        <v>Range Resources Corp.</v>
      </c>
      <c r="C400" s="19" t="str">
        <f>VLOOKUP($A400,'MG Universe'!$A$2:$R$9994,3)</f>
        <v>D</v>
      </c>
      <c r="D400" s="19" t="str">
        <f>VLOOKUP($A400,'MG Universe'!$A$2:$R$9994,4)</f>
        <v>S</v>
      </c>
      <c r="E400" s="19" t="str">
        <f>VLOOKUP($A400,'MG Universe'!$A$2:$R$9994,5)</f>
        <v>F</v>
      </c>
      <c r="F400" s="20" t="str">
        <f>VLOOKUP($A400,'MG Universe'!$A$2:$R$9994,6)</f>
        <v>SF</v>
      </c>
      <c r="G400" s="103">
        <f>VLOOKUP($A400,'MG Universe'!$A$2:$R$9994,7)</f>
        <v>42234</v>
      </c>
      <c r="H400" s="22">
        <f>VLOOKUP($A400,'MG Universe'!$A$2:$R$9994,8)</f>
        <v>36.270000000000003</v>
      </c>
      <c r="I400" s="22">
        <f>VLOOKUP($A400,'MG Universe'!$A$2:$R$9994,9)</f>
        <v>28.46</v>
      </c>
      <c r="J400" s="23">
        <f>VLOOKUP($A400,'MG Universe'!$A$2:$R$9994,10)</f>
        <v>0.78469999999999995</v>
      </c>
      <c r="K400" s="105">
        <f>VLOOKUP($A400,'MG Universe'!$A$2:$R$9994,11)</f>
        <v>30.28</v>
      </c>
      <c r="L400" s="23">
        <f>VLOOKUP($A400,'MG Universe'!$A$2:$R$9994,12)</f>
        <v>2.8E-3</v>
      </c>
      <c r="M400" s="106">
        <f>VLOOKUP($A400,'MG Universe'!$A$2:$R$9994,13)</f>
        <v>0.8</v>
      </c>
      <c r="N400" s="107">
        <f>VLOOKUP($A400,'MG Universe'!$A$2:$R$9994,14)</f>
        <v>0.74</v>
      </c>
      <c r="O400" s="22">
        <f>VLOOKUP($A400,'MG Universe'!$A$2:$R$9994,15)</f>
        <v>-30.35</v>
      </c>
      <c r="P400" s="23">
        <f>VLOOKUP($A400,'MG Universe'!$A$2:$R$9994,16)</f>
        <v>0.1089</v>
      </c>
      <c r="Q400" s="109">
        <f>VLOOKUP($A400,'MG Universe'!$A$2:$R$9994,17)</f>
        <v>0</v>
      </c>
      <c r="R400" s="22">
        <f>VLOOKUP($A400,'MG Universe'!$A$2:$R$9994,18)</f>
        <v>0</v>
      </c>
    </row>
    <row r="401" spans="1:18" x14ac:dyDescent="0.55000000000000004">
      <c r="A401" s="18" t="s">
        <v>978</v>
      </c>
      <c r="B401" s="19" t="str">
        <f>VLOOKUP($A401,'MG Universe'!$A$2:$R$9994,2)</f>
        <v>Republic Services, Inc.</v>
      </c>
      <c r="C401" s="19" t="str">
        <f>VLOOKUP($A401,'MG Universe'!$A$2:$R$9994,3)</f>
        <v>D+</v>
      </c>
      <c r="D401" s="19" t="str">
        <f>VLOOKUP($A401,'MG Universe'!$A$2:$R$9994,4)</f>
        <v>S</v>
      </c>
      <c r="E401" s="19" t="str">
        <f>VLOOKUP($A401,'MG Universe'!$A$2:$R$9994,5)</f>
        <v>O</v>
      </c>
      <c r="F401" s="20" t="str">
        <f>VLOOKUP($A401,'MG Universe'!$A$2:$R$9994,6)</f>
        <v>SO</v>
      </c>
      <c r="G401" s="103">
        <f>VLOOKUP($A401,'MG Universe'!$A$2:$R$9994,7)</f>
        <v>42251</v>
      </c>
      <c r="H401" s="22">
        <f>VLOOKUP($A401,'MG Universe'!$A$2:$R$9994,8)</f>
        <v>32.21</v>
      </c>
      <c r="I401" s="22">
        <f>VLOOKUP($A401,'MG Universe'!$A$2:$R$9994,9)</f>
        <v>47.06</v>
      </c>
      <c r="J401" s="23">
        <f>VLOOKUP($A401,'MG Universe'!$A$2:$R$9994,10)</f>
        <v>1.4610000000000001</v>
      </c>
      <c r="K401" s="105">
        <f>VLOOKUP($A401,'MG Universe'!$A$2:$R$9994,11)</f>
        <v>27.36</v>
      </c>
      <c r="L401" s="23">
        <f>VLOOKUP($A401,'MG Universe'!$A$2:$R$9994,12)</f>
        <v>2.5499999999999998E-2</v>
      </c>
      <c r="M401" s="106">
        <f>VLOOKUP($A401,'MG Universe'!$A$2:$R$9994,13)</f>
        <v>0.6</v>
      </c>
      <c r="N401" s="107">
        <f>VLOOKUP($A401,'MG Universe'!$A$2:$R$9994,14)</f>
        <v>0.75</v>
      </c>
      <c r="O401" s="22">
        <f>VLOOKUP($A401,'MG Universe'!$A$2:$R$9994,15)</f>
        <v>-32.85</v>
      </c>
      <c r="P401" s="23">
        <f>VLOOKUP($A401,'MG Universe'!$A$2:$R$9994,16)</f>
        <v>9.4299999999999995E-2</v>
      </c>
      <c r="Q401" s="109">
        <f>VLOOKUP($A401,'MG Universe'!$A$2:$R$9994,17)</f>
        <v>13</v>
      </c>
      <c r="R401" s="22">
        <f>VLOOKUP($A401,'MG Universe'!$A$2:$R$9994,18)</f>
        <v>31.74</v>
      </c>
    </row>
    <row r="402" spans="1:18" x14ac:dyDescent="0.55000000000000004">
      <c r="A402" s="18" t="s">
        <v>271</v>
      </c>
      <c r="B402" s="19" t="str">
        <f>VLOOKUP($A402,'MG Universe'!$A$2:$R$9994,2)</f>
        <v>Raytheon Company</v>
      </c>
      <c r="C402" s="19" t="str">
        <f>VLOOKUP($A402,'MG Universe'!$A$2:$R$9994,3)</f>
        <v>B-</v>
      </c>
      <c r="D402" s="19" t="str">
        <f>VLOOKUP($A402,'MG Universe'!$A$2:$R$9994,4)</f>
        <v>E</v>
      </c>
      <c r="E402" s="19" t="str">
        <f>VLOOKUP($A402,'MG Universe'!$A$2:$R$9994,5)</f>
        <v>F</v>
      </c>
      <c r="F402" s="20" t="str">
        <f>VLOOKUP($A402,'MG Universe'!$A$2:$R$9994,6)</f>
        <v>EF</v>
      </c>
      <c r="G402" s="103">
        <f>VLOOKUP($A402,'MG Universe'!$A$2:$R$9994,7)</f>
        <v>42418</v>
      </c>
      <c r="H402" s="22">
        <f>VLOOKUP($A402,'MG Universe'!$A$2:$R$9994,8)</f>
        <v>117.81</v>
      </c>
      <c r="I402" s="22">
        <f>VLOOKUP($A402,'MG Universe'!$A$2:$R$9994,9)</f>
        <v>125.13</v>
      </c>
      <c r="J402" s="23">
        <f>VLOOKUP($A402,'MG Universe'!$A$2:$R$9994,10)</f>
        <v>1.0621</v>
      </c>
      <c r="K402" s="105">
        <f>VLOOKUP($A402,'MG Universe'!$A$2:$R$9994,11)</f>
        <v>18.59</v>
      </c>
      <c r="L402" s="23">
        <f>VLOOKUP($A402,'MG Universe'!$A$2:$R$9994,12)</f>
        <v>2.1399999999999999E-2</v>
      </c>
      <c r="M402" s="106">
        <f>VLOOKUP($A402,'MG Universe'!$A$2:$R$9994,13)</f>
        <v>0.8</v>
      </c>
      <c r="N402" s="107">
        <f>VLOOKUP($A402,'MG Universe'!$A$2:$R$9994,14)</f>
        <v>1.6</v>
      </c>
      <c r="O402" s="22">
        <f>VLOOKUP($A402,'MG Universe'!$A$2:$R$9994,15)</f>
        <v>-30.61</v>
      </c>
      <c r="P402" s="23">
        <f>VLOOKUP($A402,'MG Universe'!$A$2:$R$9994,16)</f>
        <v>5.0500000000000003E-2</v>
      </c>
      <c r="Q402" s="109">
        <f>VLOOKUP($A402,'MG Universe'!$A$2:$R$9994,17)</f>
        <v>12</v>
      </c>
      <c r="R402" s="22">
        <f>VLOOKUP($A402,'MG Universe'!$A$2:$R$9994,18)</f>
        <v>72.06</v>
      </c>
    </row>
    <row r="403" spans="1:18" x14ac:dyDescent="0.55000000000000004">
      <c r="A403" s="18" t="s">
        <v>980</v>
      </c>
      <c r="B403" s="19" t="str">
        <f>VLOOKUP($A403,'MG Universe'!$A$2:$R$9994,2)</f>
        <v>Starbucks Corporation</v>
      </c>
      <c r="C403" s="19" t="str">
        <f>VLOOKUP($A403,'MG Universe'!$A$2:$R$9994,3)</f>
        <v>D+</v>
      </c>
      <c r="D403" s="19" t="str">
        <f>VLOOKUP($A403,'MG Universe'!$A$2:$R$9994,4)</f>
        <v>S</v>
      </c>
      <c r="E403" s="19" t="str">
        <f>VLOOKUP($A403,'MG Universe'!$A$2:$R$9994,5)</f>
        <v>F</v>
      </c>
      <c r="F403" s="20" t="str">
        <f>VLOOKUP($A403,'MG Universe'!$A$2:$R$9994,6)</f>
        <v>SF</v>
      </c>
      <c r="G403" s="103">
        <f>VLOOKUP($A403,'MG Universe'!$A$2:$R$9994,7)</f>
        <v>42050</v>
      </c>
      <c r="H403" s="22">
        <f>VLOOKUP($A403,'MG Universe'!$A$2:$R$9994,8)</f>
        <v>76.349999999999994</v>
      </c>
      <c r="I403" s="22">
        <f>VLOOKUP($A403,'MG Universe'!$A$2:$R$9994,9)</f>
        <v>59.56</v>
      </c>
      <c r="J403" s="23">
        <f>VLOOKUP($A403,'MG Universe'!$A$2:$R$9994,10)</f>
        <v>0.78010000000000002</v>
      </c>
      <c r="K403" s="105">
        <f>VLOOKUP($A403,'MG Universe'!$A$2:$R$9994,11)</f>
        <v>28.36</v>
      </c>
      <c r="L403" s="23">
        <f>VLOOKUP($A403,'MG Universe'!$A$2:$R$9994,12)</f>
        <v>1.34E-2</v>
      </c>
      <c r="M403" s="106">
        <f>VLOOKUP($A403,'MG Universe'!$A$2:$R$9994,13)</f>
        <v>0.8</v>
      </c>
      <c r="N403" s="107">
        <f>VLOOKUP($A403,'MG Universe'!$A$2:$R$9994,14)</f>
        <v>1.28</v>
      </c>
      <c r="O403" s="22">
        <f>VLOOKUP($A403,'MG Universe'!$A$2:$R$9994,15)</f>
        <v>-2.68</v>
      </c>
      <c r="P403" s="23">
        <f>VLOOKUP($A403,'MG Universe'!$A$2:$R$9994,16)</f>
        <v>9.9299999999999999E-2</v>
      </c>
      <c r="Q403" s="109">
        <f>VLOOKUP($A403,'MG Universe'!$A$2:$R$9994,17)</f>
        <v>0</v>
      </c>
      <c r="R403" s="22">
        <f>VLOOKUP($A403,'MG Universe'!$A$2:$R$9994,18)</f>
        <v>0</v>
      </c>
    </row>
    <row r="404" spans="1:18" x14ac:dyDescent="0.55000000000000004">
      <c r="A404" s="18" t="s">
        <v>982</v>
      </c>
      <c r="B404" s="19" t="str">
        <f>VLOOKUP($A404,'MG Universe'!$A$2:$R$9994,2)</f>
        <v>SCANA Corporation</v>
      </c>
      <c r="C404" s="19" t="str">
        <f>VLOOKUP($A404,'MG Universe'!$A$2:$R$9994,3)</f>
        <v>D+</v>
      </c>
      <c r="D404" s="19" t="str">
        <f>VLOOKUP($A404,'MG Universe'!$A$2:$R$9994,4)</f>
        <v>S</v>
      </c>
      <c r="E404" s="19" t="str">
        <f>VLOOKUP($A404,'MG Universe'!$A$2:$R$9994,5)</f>
        <v>O</v>
      </c>
      <c r="F404" s="20" t="str">
        <f>VLOOKUP($A404,'MG Universe'!$A$2:$R$9994,6)</f>
        <v>SO</v>
      </c>
      <c r="G404" s="103">
        <f>VLOOKUP($A404,'MG Universe'!$A$2:$R$9994,7)</f>
        <v>42065</v>
      </c>
      <c r="H404" s="22">
        <f>VLOOKUP($A404,'MG Universe'!$A$2:$R$9994,8)</f>
        <v>46.62</v>
      </c>
      <c r="I404" s="22">
        <f>VLOOKUP($A404,'MG Universe'!$A$2:$R$9994,9)</f>
        <v>65.06</v>
      </c>
      <c r="J404" s="23">
        <f>VLOOKUP($A404,'MG Universe'!$A$2:$R$9994,10)</f>
        <v>1.3955</v>
      </c>
      <c r="K404" s="105">
        <f>VLOOKUP($A404,'MG Universe'!$A$2:$R$9994,11)</f>
        <v>19.190000000000001</v>
      </c>
      <c r="L404" s="23">
        <f>VLOOKUP($A404,'MG Universe'!$A$2:$R$9994,12)</f>
        <v>3.5400000000000001E-2</v>
      </c>
      <c r="M404" s="106">
        <f>VLOOKUP($A404,'MG Universe'!$A$2:$R$9994,13)</f>
        <v>0.2</v>
      </c>
      <c r="N404" s="107">
        <f>VLOOKUP($A404,'MG Universe'!$A$2:$R$9994,14)</f>
        <v>0.88</v>
      </c>
      <c r="O404" s="22">
        <f>VLOOKUP($A404,'MG Universe'!$A$2:$R$9994,15)</f>
        <v>-67.3</v>
      </c>
      <c r="P404" s="23">
        <f>VLOOKUP($A404,'MG Universe'!$A$2:$R$9994,16)</f>
        <v>5.3499999999999999E-2</v>
      </c>
      <c r="Q404" s="109">
        <f>VLOOKUP($A404,'MG Universe'!$A$2:$R$9994,17)</f>
        <v>0</v>
      </c>
      <c r="R404" s="22">
        <f>VLOOKUP($A404,'MG Universe'!$A$2:$R$9994,18)</f>
        <v>0</v>
      </c>
    </row>
    <row r="405" spans="1:18" x14ac:dyDescent="0.55000000000000004">
      <c r="A405" s="18" t="s">
        <v>1127</v>
      </c>
      <c r="B405" s="19" t="str">
        <f>VLOOKUP($A405,'MG Universe'!$A$2:$R$9994,2)</f>
        <v>Charles Schwab Corp</v>
      </c>
      <c r="C405" s="19" t="str">
        <f>VLOOKUP($A405,'MG Universe'!$A$2:$R$9994,3)</f>
        <v>F</v>
      </c>
      <c r="D405" s="19" t="str">
        <f>VLOOKUP($A405,'MG Universe'!$A$2:$R$9994,4)</f>
        <v>S</v>
      </c>
      <c r="E405" s="19" t="str">
        <f>VLOOKUP($A405,'MG Universe'!$A$2:$R$9994,5)</f>
        <v>O</v>
      </c>
      <c r="F405" s="20" t="str">
        <f>VLOOKUP($A405,'MG Universe'!$A$2:$R$9994,6)</f>
        <v>SO</v>
      </c>
      <c r="G405" s="103">
        <f>VLOOKUP($A405,'MG Universe'!$A$2:$R$9994,7)</f>
        <v>42092</v>
      </c>
      <c r="H405" s="22">
        <f>VLOOKUP($A405,'MG Universe'!$A$2:$R$9994,8)</f>
        <v>4.9000000000000004</v>
      </c>
      <c r="I405" s="22">
        <f>VLOOKUP($A405,'MG Universe'!$A$2:$R$9994,9)</f>
        <v>26.74</v>
      </c>
      <c r="J405" s="23">
        <f>VLOOKUP($A405,'MG Universe'!$A$2:$R$9994,10)</f>
        <v>5.4570999999999996</v>
      </c>
      <c r="K405" s="105">
        <f>VLOOKUP($A405,'MG Universe'!$A$2:$R$9994,11)</f>
        <v>34.28</v>
      </c>
      <c r="L405" s="23">
        <f>VLOOKUP($A405,'MG Universe'!$A$2:$R$9994,12)</f>
        <v>8.9999999999999993E-3</v>
      </c>
      <c r="M405" s="106">
        <f>VLOOKUP($A405,'MG Universe'!$A$2:$R$9994,13)</f>
        <v>1.6</v>
      </c>
      <c r="N405" s="107" t="str">
        <f>VLOOKUP($A405,'MG Universe'!$A$2:$R$9994,14)</f>
        <v>N/A</v>
      </c>
      <c r="O405" s="22" t="str">
        <f>VLOOKUP($A405,'MG Universe'!$A$2:$R$9994,15)</f>
        <v>N/A</v>
      </c>
      <c r="P405" s="23">
        <f>VLOOKUP($A405,'MG Universe'!$A$2:$R$9994,16)</f>
        <v>0.12889999999999999</v>
      </c>
      <c r="Q405" s="109">
        <f>VLOOKUP($A405,'MG Universe'!$A$2:$R$9994,17)</f>
        <v>0</v>
      </c>
      <c r="R405" s="22">
        <f>VLOOKUP($A405,'MG Universe'!$A$2:$R$9994,18)</f>
        <v>0</v>
      </c>
    </row>
    <row r="406" spans="1:18" x14ac:dyDescent="0.55000000000000004">
      <c r="A406" s="18" t="s">
        <v>984</v>
      </c>
      <c r="B406" s="19" t="str">
        <f>VLOOKUP($A406,'MG Universe'!$A$2:$R$9994,2)</f>
        <v>Spectra Energy Corp.</v>
      </c>
      <c r="C406" s="19" t="str">
        <f>VLOOKUP($A406,'MG Universe'!$A$2:$R$9994,3)</f>
        <v>D+</v>
      </c>
      <c r="D406" s="19" t="str">
        <f>VLOOKUP($A406,'MG Universe'!$A$2:$R$9994,4)</f>
        <v>S</v>
      </c>
      <c r="E406" s="19" t="str">
        <f>VLOOKUP($A406,'MG Universe'!$A$2:$R$9994,5)</f>
        <v>O</v>
      </c>
      <c r="F406" s="20" t="str">
        <f>VLOOKUP($A406,'MG Universe'!$A$2:$R$9994,6)</f>
        <v>SO</v>
      </c>
      <c r="G406" s="103">
        <f>VLOOKUP($A406,'MG Universe'!$A$2:$R$9994,7)</f>
        <v>42103</v>
      </c>
      <c r="H406" s="22">
        <f>VLOOKUP($A406,'MG Universe'!$A$2:$R$9994,8)</f>
        <v>13.51</v>
      </c>
      <c r="I406" s="22">
        <f>VLOOKUP($A406,'MG Universe'!$A$2:$R$9994,9)</f>
        <v>29.93</v>
      </c>
      <c r="J406" s="23">
        <f>VLOOKUP($A406,'MG Universe'!$A$2:$R$9994,10)</f>
        <v>2.2153999999999998</v>
      </c>
      <c r="K406" s="105">
        <f>VLOOKUP($A406,'MG Universe'!$A$2:$R$9994,11)</f>
        <v>18.940000000000001</v>
      </c>
      <c r="L406" s="23">
        <f>VLOOKUP($A406,'MG Universe'!$A$2:$R$9994,12)</f>
        <v>5.4100000000000002E-2</v>
      </c>
      <c r="M406" s="106">
        <f>VLOOKUP($A406,'MG Universe'!$A$2:$R$9994,13)</f>
        <v>0.8</v>
      </c>
      <c r="N406" s="107">
        <f>VLOOKUP($A406,'MG Universe'!$A$2:$R$9994,14)</f>
        <v>0.61</v>
      </c>
      <c r="O406" s="22">
        <f>VLOOKUP($A406,'MG Universe'!$A$2:$R$9994,15)</f>
        <v>-35.04</v>
      </c>
      <c r="P406" s="23">
        <f>VLOOKUP($A406,'MG Universe'!$A$2:$R$9994,16)</f>
        <v>5.2200000000000003E-2</v>
      </c>
      <c r="Q406" s="109">
        <f>VLOOKUP($A406,'MG Universe'!$A$2:$R$9994,17)</f>
        <v>0</v>
      </c>
      <c r="R406" s="22">
        <f>VLOOKUP($A406,'MG Universe'!$A$2:$R$9994,18)</f>
        <v>0</v>
      </c>
    </row>
    <row r="407" spans="1:18" x14ac:dyDescent="0.55000000000000004">
      <c r="A407" s="18" t="s">
        <v>1129</v>
      </c>
      <c r="B407" s="19" t="str">
        <f>VLOOKUP($A407,'MG Universe'!$A$2:$R$9994,2)</f>
        <v>Sealed Air Corp</v>
      </c>
      <c r="C407" s="19" t="str">
        <f>VLOOKUP($A407,'MG Universe'!$A$2:$R$9994,3)</f>
        <v>F</v>
      </c>
      <c r="D407" s="19" t="str">
        <f>VLOOKUP($A407,'MG Universe'!$A$2:$R$9994,4)</f>
        <v>S</v>
      </c>
      <c r="E407" s="19" t="str">
        <f>VLOOKUP($A407,'MG Universe'!$A$2:$R$9994,5)</f>
        <v>O</v>
      </c>
      <c r="F407" s="20" t="str">
        <f>VLOOKUP($A407,'MG Universe'!$A$2:$R$9994,6)</f>
        <v>SO</v>
      </c>
      <c r="G407" s="103">
        <f>VLOOKUP($A407,'MG Universe'!$A$2:$R$9994,7)</f>
        <v>42140</v>
      </c>
      <c r="H407" s="22">
        <f>VLOOKUP($A407,'MG Universe'!$A$2:$R$9994,8)</f>
        <v>0</v>
      </c>
      <c r="I407" s="22">
        <f>VLOOKUP($A407,'MG Universe'!$A$2:$R$9994,9)</f>
        <v>46.51</v>
      </c>
      <c r="J407" s="23" t="str">
        <f>VLOOKUP($A407,'MG Universe'!$A$2:$R$9994,10)</f>
        <v>N/A</v>
      </c>
      <c r="K407" s="105">
        <f>VLOOKUP($A407,'MG Universe'!$A$2:$R$9994,11)</f>
        <v>221.48</v>
      </c>
      <c r="L407" s="23">
        <f>VLOOKUP($A407,'MG Universe'!$A$2:$R$9994,12)</f>
        <v>1.12E-2</v>
      </c>
      <c r="M407" s="106">
        <f>VLOOKUP($A407,'MG Universe'!$A$2:$R$9994,13)</f>
        <v>1.4</v>
      </c>
      <c r="N407" s="107">
        <f>VLOOKUP($A407,'MG Universe'!$A$2:$R$9994,14)</f>
        <v>1.68</v>
      </c>
      <c r="O407" s="22">
        <f>VLOOKUP($A407,'MG Universe'!$A$2:$R$9994,15)</f>
        <v>-19.02</v>
      </c>
      <c r="P407" s="23">
        <f>VLOOKUP($A407,'MG Universe'!$A$2:$R$9994,16)</f>
        <v>1.0649</v>
      </c>
      <c r="Q407" s="109">
        <f>VLOOKUP($A407,'MG Universe'!$A$2:$R$9994,17)</f>
        <v>0</v>
      </c>
      <c r="R407" s="22">
        <f>VLOOKUP($A407,'MG Universe'!$A$2:$R$9994,18)</f>
        <v>0</v>
      </c>
    </row>
    <row r="408" spans="1:18" x14ac:dyDescent="0.55000000000000004">
      <c r="A408" s="18" t="s">
        <v>811</v>
      </c>
      <c r="B408" s="19" t="str">
        <f>VLOOKUP($A408,'MG Universe'!$A$2:$R$9994,2)</f>
        <v>Sherwin-Williams Co</v>
      </c>
      <c r="C408" s="19" t="str">
        <f>VLOOKUP($A408,'MG Universe'!$A$2:$R$9994,3)</f>
        <v>D</v>
      </c>
      <c r="D408" s="19" t="str">
        <f>VLOOKUP($A408,'MG Universe'!$A$2:$R$9994,4)</f>
        <v>S</v>
      </c>
      <c r="E408" s="19" t="str">
        <f>VLOOKUP($A408,'MG Universe'!$A$2:$R$9994,5)</f>
        <v>F</v>
      </c>
      <c r="F408" s="20" t="str">
        <f>VLOOKUP($A408,'MG Universe'!$A$2:$R$9994,6)</f>
        <v>SF</v>
      </c>
      <c r="G408" s="103">
        <f>VLOOKUP($A408,'MG Universe'!$A$2:$R$9994,7)</f>
        <v>42139</v>
      </c>
      <c r="H408" s="22">
        <f>VLOOKUP($A408,'MG Universe'!$A$2:$R$9994,8)</f>
        <v>327.58</v>
      </c>
      <c r="I408" s="22">
        <f>VLOOKUP($A408,'MG Universe'!$A$2:$R$9994,9)</f>
        <v>273.55</v>
      </c>
      <c r="J408" s="23">
        <f>VLOOKUP($A408,'MG Universe'!$A$2:$R$9994,10)</f>
        <v>0.83509999999999995</v>
      </c>
      <c r="K408" s="105">
        <f>VLOOKUP($A408,'MG Universe'!$A$2:$R$9994,11)</f>
        <v>32.14</v>
      </c>
      <c r="L408" s="23">
        <f>VLOOKUP($A408,'MG Universe'!$A$2:$R$9994,12)</f>
        <v>1.23E-2</v>
      </c>
      <c r="M408" s="106">
        <f>VLOOKUP($A408,'MG Universe'!$A$2:$R$9994,13)</f>
        <v>0.9</v>
      </c>
      <c r="N408" s="107">
        <f>VLOOKUP($A408,'MG Universe'!$A$2:$R$9994,14)</f>
        <v>0.82</v>
      </c>
      <c r="O408" s="22">
        <f>VLOOKUP($A408,'MG Universe'!$A$2:$R$9994,15)</f>
        <v>-27.71</v>
      </c>
      <c r="P408" s="23">
        <f>VLOOKUP($A408,'MG Universe'!$A$2:$R$9994,16)</f>
        <v>0.1182</v>
      </c>
      <c r="Q408" s="109">
        <f>VLOOKUP($A408,'MG Universe'!$A$2:$R$9994,17)</f>
        <v>0</v>
      </c>
      <c r="R408" s="22">
        <f>VLOOKUP($A408,'MG Universe'!$A$2:$R$9994,18)</f>
        <v>0</v>
      </c>
    </row>
    <row r="409" spans="1:18" x14ac:dyDescent="0.55000000000000004">
      <c r="A409" s="18" t="s">
        <v>1167</v>
      </c>
      <c r="B409" s="19" t="str">
        <f>VLOOKUP($A409,'MG Universe'!$A$2:$R$9994,2)</f>
        <v>Sherwin-Williams Co</v>
      </c>
      <c r="C409" s="19" t="str">
        <f>VLOOKUP($A409,'MG Universe'!$A$2:$R$9994,3)</f>
        <v>D</v>
      </c>
      <c r="D409" s="19" t="str">
        <f>VLOOKUP($A409,'MG Universe'!$A$2:$R$9994,4)</f>
        <v>S</v>
      </c>
      <c r="E409" s="19" t="str">
        <f>VLOOKUP($A409,'MG Universe'!$A$2:$R$9994,5)</f>
        <v>F</v>
      </c>
      <c r="F409" s="20" t="str">
        <f>VLOOKUP($A409,'MG Universe'!$A$2:$R$9994,6)</f>
        <v>SF</v>
      </c>
      <c r="G409" s="103">
        <f>VLOOKUP($A409,'MG Universe'!$A$2:$R$9994,7)</f>
        <v>42139</v>
      </c>
      <c r="H409" s="22">
        <f>VLOOKUP($A409,'MG Universe'!$A$2:$R$9994,8)</f>
        <v>327.58</v>
      </c>
      <c r="I409" s="22">
        <f>VLOOKUP($A409,'MG Universe'!$A$2:$R$9994,9)</f>
        <v>273.55</v>
      </c>
      <c r="J409" s="23">
        <f>VLOOKUP($A409,'MG Universe'!$A$2:$R$9994,10)</f>
        <v>0.83509999999999995</v>
      </c>
      <c r="K409" s="105">
        <f>VLOOKUP($A409,'MG Universe'!$A$2:$R$9994,11)</f>
        <v>32.14</v>
      </c>
      <c r="L409" s="23">
        <f>VLOOKUP($A409,'MG Universe'!$A$2:$R$9994,12)</f>
        <v>1.23E-2</v>
      </c>
      <c r="M409" s="106">
        <f>VLOOKUP($A409,'MG Universe'!$A$2:$R$9994,13)</f>
        <v>0.9</v>
      </c>
      <c r="N409" s="107">
        <f>VLOOKUP($A409,'MG Universe'!$A$2:$R$9994,14)</f>
        <v>0.82</v>
      </c>
      <c r="O409" s="22">
        <f>VLOOKUP($A409,'MG Universe'!$A$2:$R$9994,15)</f>
        <v>-27.71</v>
      </c>
      <c r="P409" s="23">
        <f>VLOOKUP($A409,'MG Universe'!$A$2:$R$9994,16)</f>
        <v>0.1182</v>
      </c>
      <c r="Q409" s="109">
        <f>VLOOKUP($A409,'MG Universe'!$A$2:$R$9994,17)</f>
        <v>0</v>
      </c>
      <c r="R409" s="22">
        <f>VLOOKUP($A409,'MG Universe'!$A$2:$R$9994,18)</f>
        <v>0</v>
      </c>
    </row>
    <row r="410" spans="1:18" x14ac:dyDescent="0.55000000000000004">
      <c r="A410" s="18" t="s">
        <v>694</v>
      </c>
      <c r="B410" s="19" t="str">
        <f>VLOOKUP($A410,'MG Universe'!$A$2:$R$9994,2)</f>
        <v>J M Smucker Co</v>
      </c>
      <c r="C410" s="19" t="str">
        <f>VLOOKUP($A410,'MG Universe'!$A$2:$R$9994,3)</f>
        <v>C+</v>
      </c>
      <c r="D410" s="19" t="str">
        <f>VLOOKUP($A410,'MG Universe'!$A$2:$R$9994,4)</f>
        <v>E</v>
      </c>
      <c r="E410" s="19" t="str">
        <f>VLOOKUP($A410,'MG Universe'!$A$2:$R$9994,5)</f>
        <v>O</v>
      </c>
      <c r="F410" s="20" t="str">
        <f>VLOOKUP($A410,'MG Universe'!$A$2:$R$9994,6)</f>
        <v>EO</v>
      </c>
      <c r="G410" s="103">
        <f>VLOOKUP($A410,'MG Universe'!$A$2:$R$9994,7)</f>
        <v>42410</v>
      </c>
      <c r="H410" s="22">
        <f>VLOOKUP($A410,'MG Universe'!$A$2:$R$9994,8)</f>
        <v>67.77</v>
      </c>
      <c r="I410" s="22">
        <f>VLOOKUP($A410,'MG Universe'!$A$2:$R$9994,9)</f>
        <v>127.81</v>
      </c>
      <c r="J410" s="23">
        <f>VLOOKUP($A410,'MG Universe'!$A$2:$R$9994,10)</f>
        <v>1.8858999999999999</v>
      </c>
      <c r="K410" s="105">
        <f>VLOOKUP($A410,'MG Universe'!$A$2:$R$9994,11)</f>
        <v>27.43</v>
      </c>
      <c r="L410" s="23">
        <f>VLOOKUP($A410,'MG Universe'!$A$2:$R$9994,12)</f>
        <v>2.1000000000000001E-2</v>
      </c>
      <c r="M410" s="106">
        <f>VLOOKUP($A410,'MG Universe'!$A$2:$R$9994,13)</f>
        <v>0.5</v>
      </c>
      <c r="N410" s="107">
        <f>VLOOKUP($A410,'MG Universe'!$A$2:$R$9994,14)</f>
        <v>1.77</v>
      </c>
      <c r="O410" s="22">
        <f>VLOOKUP($A410,'MG Universe'!$A$2:$R$9994,15)</f>
        <v>-62.58</v>
      </c>
      <c r="P410" s="23">
        <f>VLOOKUP($A410,'MG Universe'!$A$2:$R$9994,16)</f>
        <v>9.4600000000000004E-2</v>
      </c>
      <c r="Q410" s="109">
        <f>VLOOKUP($A410,'MG Universe'!$A$2:$R$9994,17)</f>
        <v>14</v>
      </c>
      <c r="R410" s="22">
        <f>VLOOKUP($A410,'MG Universe'!$A$2:$R$9994,18)</f>
        <v>84.5</v>
      </c>
    </row>
    <row r="411" spans="1:18" x14ac:dyDescent="0.55000000000000004">
      <c r="A411" s="18" t="s">
        <v>813</v>
      </c>
      <c r="B411" s="19" t="str">
        <f>VLOOKUP($A411,'MG Universe'!$A$2:$R$9994,2)</f>
        <v>Schlumberger Limited.</v>
      </c>
      <c r="C411" s="19" t="str">
        <f>VLOOKUP($A411,'MG Universe'!$A$2:$R$9994,3)</f>
        <v>D</v>
      </c>
      <c r="D411" s="19" t="str">
        <f>VLOOKUP($A411,'MG Universe'!$A$2:$R$9994,4)</f>
        <v>S</v>
      </c>
      <c r="E411" s="19" t="str">
        <f>VLOOKUP($A411,'MG Universe'!$A$2:$R$9994,5)</f>
        <v>O</v>
      </c>
      <c r="F411" s="20" t="str">
        <f>VLOOKUP($A411,'MG Universe'!$A$2:$R$9994,6)</f>
        <v>SO</v>
      </c>
      <c r="G411" s="103">
        <f>VLOOKUP($A411,'MG Universe'!$A$2:$R$9994,7)</f>
        <v>42404</v>
      </c>
      <c r="H411" s="22">
        <f>VLOOKUP($A411,'MG Universe'!$A$2:$R$9994,8)</f>
        <v>3.92</v>
      </c>
      <c r="I411" s="22">
        <f>VLOOKUP($A411,'MG Universe'!$A$2:$R$9994,9)</f>
        <v>74.39</v>
      </c>
      <c r="J411" s="23">
        <f>VLOOKUP($A411,'MG Universe'!$A$2:$R$9994,10)</f>
        <v>18.977</v>
      </c>
      <c r="K411" s="105">
        <f>VLOOKUP($A411,'MG Universe'!$A$2:$R$9994,11)</f>
        <v>26.57</v>
      </c>
      <c r="L411" s="23">
        <f>VLOOKUP($A411,'MG Universe'!$A$2:$R$9994,12)</f>
        <v>2.69E-2</v>
      </c>
      <c r="M411" s="106">
        <f>VLOOKUP($A411,'MG Universe'!$A$2:$R$9994,13)</f>
        <v>1.5</v>
      </c>
      <c r="N411" s="107">
        <f>VLOOKUP($A411,'MG Universe'!$A$2:$R$9994,14)</f>
        <v>1.91</v>
      </c>
      <c r="O411" s="22">
        <f>VLOOKUP($A411,'MG Universe'!$A$2:$R$9994,15)</f>
        <v>-4.33</v>
      </c>
      <c r="P411" s="23">
        <f>VLOOKUP($A411,'MG Universe'!$A$2:$R$9994,16)</f>
        <v>9.0300000000000005E-2</v>
      </c>
      <c r="Q411" s="109">
        <f>VLOOKUP($A411,'MG Universe'!$A$2:$R$9994,17)</f>
        <v>0</v>
      </c>
      <c r="R411" s="22">
        <f>VLOOKUP($A411,'MG Universe'!$A$2:$R$9994,18)</f>
        <v>33.42</v>
      </c>
    </row>
    <row r="412" spans="1:18" x14ac:dyDescent="0.55000000000000004">
      <c r="A412" s="18" t="s">
        <v>986</v>
      </c>
      <c r="B412" s="19" t="str">
        <f>VLOOKUP($A412,'MG Universe'!$A$2:$R$9994,2)</f>
        <v>SL Green Realty Corp</v>
      </c>
      <c r="C412" s="19" t="str">
        <f>VLOOKUP($A412,'MG Universe'!$A$2:$R$9994,3)</f>
        <v>D+</v>
      </c>
      <c r="D412" s="19" t="str">
        <f>VLOOKUP($A412,'MG Universe'!$A$2:$R$9994,4)</f>
        <v>S</v>
      </c>
      <c r="E412" s="19" t="str">
        <f>VLOOKUP($A412,'MG Universe'!$A$2:$R$9994,5)</f>
        <v>O</v>
      </c>
      <c r="F412" s="20" t="str">
        <f>VLOOKUP($A412,'MG Universe'!$A$2:$R$9994,6)</f>
        <v>SO</v>
      </c>
      <c r="G412" s="103">
        <f>VLOOKUP($A412,'MG Universe'!$A$2:$R$9994,7)</f>
        <v>42211</v>
      </c>
      <c r="H412" s="22">
        <f>VLOOKUP($A412,'MG Universe'!$A$2:$R$9994,8)</f>
        <v>17.68</v>
      </c>
      <c r="I412" s="22">
        <f>VLOOKUP($A412,'MG Universe'!$A$2:$R$9994,9)</f>
        <v>94.31</v>
      </c>
      <c r="J412" s="23">
        <f>VLOOKUP($A412,'MG Universe'!$A$2:$R$9994,10)</f>
        <v>5.3342999999999998</v>
      </c>
      <c r="K412" s="105">
        <f>VLOOKUP($A412,'MG Universe'!$A$2:$R$9994,11)</f>
        <v>21.98</v>
      </c>
      <c r="L412" s="23">
        <f>VLOOKUP($A412,'MG Universe'!$A$2:$R$9994,12)</f>
        <v>3.0499999999999999E-2</v>
      </c>
      <c r="M412" s="106">
        <f>VLOOKUP($A412,'MG Universe'!$A$2:$R$9994,13)</f>
        <v>1.4</v>
      </c>
      <c r="N412" s="107">
        <f>VLOOKUP($A412,'MG Universe'!$A$2:$R$9994,14)</f>
        <v>2.57</v>
      </c>
      <c r="O412" s="22">
        <f>VLOOKUP($A412,'MG Universe'!$A$2:$R$9994,15)</f>
        <v>-86.93</v>
      </c>
      <c r="P412" s="23">
        <f>VLOOKUP($A412,'MG Universe'!$A$2:$R$9994,16)</f>
        <v>6.7400000000000002E-2</v>
      </c>
      <c r="Q412" s="109">
        <f>VLOOKUP($A412,'MG Universe'!$A$2:$R$9994,17)</f>
        <v>0</v>
      </c>
      <c r="R412" s="22">
        <f>VLOOKUP($A412,'MG Universe'!$A$2:$R$9994,18)</f>
        <v>0</v>
      </c>
    </row>
    <row r="413" spans="1:18" x14ac:dyDescent="0.55000000000000004">
      <c r="A413" s="18" t="s">
        <v>273</v>
      </c>
      <c r="B413" s="19" t="str">
        <f>VLOOKUP($A413,'MG Universe'!$A$2:$R$9994,2)</f>
        <v>Snap-on Incorporated</v>
      </c>
      <c r="C413" s="19" t="str">
        <f>VLOOKUP($A413,'MG Universe'!$A$2:$R$9994,3)</f>
        <v>B-</v>
      </c>
      <c r="D413" s="19" t="str">
        <f>VLOOKUP($A413,'MG Universe'!$A$2:$R$9994,4)</f>
        <v>D</v>
      </c>
      <c r="E413" s="19" t="str">
        <f>VLOOKUP($A413,'MG Universe'!$A$2:$R$9994,5)</f>
        <v>U</v>
      </c>
      <c r="F413" s="20" t="str">
        <f>VLOOKUP($A413,'MG Universe'!$A$2:$R$9994,6)</f>
        <v>DU</v>
      </c>
      <c r="G413" s="103">
        <f>VLOOKUP($A413,'MG Universe'!$A$2:$R$9994,7)</f>
        <v>42411</v>
      </c>
      <c r="H413" s="22">
        <f>VLOOKUP($A413,'MG Universe'!$A$2:$R$9994,8)</f>
        <v>244.52</v>
      </c>
      <c r="I413" s="22">
        <f>VLOOKUP($A413,'MG Universe'!$A$2:$R$9994,9)</f>
        <v>150.81</v>
      </c>
      <c r="J413" s="23">
        <f>VLOOKUP($A413,'MG Universe'!$A$2:$R$9994,10)</f>
        <v>0.61680000000000001</v>
      </c>
      <c r="K413" s="105">
        <f>VLOOKUP($A413,'MG Universe'!$A$2:$R$9994,11)</f>
        <v>19.95</v>
      </c>
      <c r="L413" s="23">
        <f>VLOOKUP($A413,'MG Universe'!$A$2:$R$9994,12)</f>
        <v>1.6199999999999999E-2</v>
      </c>
      <c r="M413" s="106">
        <f>VLOOKUP($A413,'MG Universe'!$A$2:$R$9994,13)</f>
        <v>1.4</v>
      </c>
      <c r="N413" s="107">
        <f>VLOOKUP($A413,'MG Universe'!$A$2:$R$9994,14)</f>
        <v>2.83</v>
      </c>
      <c r="O413" s="22">
        <f>VLOOKUP($A413,'MG Universe'!$A$2:$R$9994,15)</f>
        <v>-2.97</v>
      </c>
      <c r="P413" s="23">
        <f>VLOOKUP($A413,'MG Universe'!$A$2:$R$9994,16)</f>
        <v>5.7200000000000001E-2</v>
      </c>
      <c r="Q413" s="109">
        <f>VLOOKUP($A413,'MG Universe'!$A$2:$R$9994,17)</f>
        <v>7</v>
      </c>
      <c r="R413" s="22">
        <f>VLOOKUP($A413,'MG Universe'!$A$2:$R$9994,18)</f>
        <v>89.09</v>
      </c>
    </row>
    <row r="414" spans="1:18" x14ac:dyDescent="0.55000000000000004">
      <c r="A414" s="18" t="s">
        <v>447</v>
      </c>
      <c r="B414" s="19" t="str">
        <f>VLOOKUP($A414,'MG Universe'!$A$2:$R$9994,2)</f>
        <v>SanDisk Corporation</v>
      </c>
      <c r="C414" s="19" t="str">
        <f>VLOOKUP($A414,'MG Universe'!$A$2:$R$9994,3)</f>
        <v>C</v>
      </c>
      <c r="D414" s="19" t="str">
        <f>VLOOKUP($A414,'MG Universe'!$A$2:$R$9994,4)</f>
        <v>E</v>
      </c>
      <c r="E414" s="19" t="str">
        <f>VLOOKUP($A414,'MG Universe'!$A$2:$R$9994,5)</f>
        <v>F</v>
      </c>
      <c r="F414" s="20" t="str">
        <f>VLOOKUP($A414,'MG Universe'!$A$2:$R$9994,6)</f>
        <v>EF</v>
      </c>
      <c r="G414" s="103">
        <f>VLOOKUP($A414,'MG Universe'!$A$2:$R$9994,7)</f>
        <v>42333</v>
      </c>
      <c r="H414" s="22">
        <f>VLOOKUP($A414,'MG Universe'!$A$2:$R$9994,8)</f>
        <v>79.430000000000007</v>
      </c>
      <c r="I414" s="22">
        <f>VLOOKUP($A414,'MG Universe'!$A$2:$R$9994,9)</f>
        <v>74.98</v>
      </c>
      <c r="J414" s="23">
        <f>VLOOKUP($A414,'MG Universe'!$A$2:$R$9994,10)</f>
        <v>0.94399999999999995</v>
      </c>
      <c r="K414" s="105">
        <f>VLOOKUP($A414,'MG Universe'!$A$2:$R$9994,11)</f>
        <v>23.65</v>
      </c>
      <c r="L414" s="23">
        <f>VLOOKUP($A414,'MG Universe'!$A$2:$R$9994,12)</f>
        <v>1.6E-2</v>
      </c>
      <c r="M414" s="106">
        <f>VLOOKUP($A414,'MG Universe'!$A$2:$R$9994,13)</f>
        <v>2</v>
      </c>
      <c r="N414" s="107">
        <f>VLOOKUP($A414,'MG Universe'!$A$2:$R$9994,14)</f>
        <v>3.17</v>
      </c>
      <c r="O414" s="22">
        <f>VLOOKUP($A414,'MG Universe'!$A$2:$R$9994,15)</f>
        <v>0.85</v>
      </c>
      <c r="P414" s="23">
        <f>VLOOKUP($A414,'MG Universe'!$A$2:$R$9994,16)</f>
        <v>7.5800000000000006E-2</v>
      </c>
      <c r="Q414" s="109">
        <f>VLOOKUP($A414,'MG Universe'!$A$2:$R$9994,17)</f>
        <v>3</v>
      </c>
      <c r="R414" s="22">
        <f>VLOOKUP($A414,'MG Universe'!$A$2:$R$9994,18)</f>
        <v>35.81</v>
      </c>
    </row>
    <row r="415" spans="1:18" x14ac:dyDescent="0.55000000000000004">
      <c r="A415" s="18" t="s">
        <v>275</v>
      </c>
      <c r="B415" s="19" t="str">
        <f>VLOOKUP($A415,'MG Universe'!$A$2:$R$9994,2)</f>
        <v>Scripps Networks Interactive, Inc.</v>
      </c>
      <c r="C415" s="19" t="str">
        <f>VLOOKUP($A415,'MG Universe'!$A$2:$R$9994,3)</f>
        <v>B-</v>
      </c>
      <c r="D415" s="19" t="str">
        <f>VLOOKUP($A415,'MG Universe'!$A$2:$R$9994,4)</f>
        <v>E</v>
      </c>
      <c r="E415" s="19" t="str">
        <f>VLOOKUP($A415,'MG Universe'!$A$2:$R$9994,5)</f>
        <v>U</v>
      </c>
      <c r="F415" s="20" t="str">
        <f>VLOOKUP($A415,'MG Universe'!$A$2:$R$9994,6)</f>
        <v>EU</v>
      </c>
      <c r="G415" s="103">
        <f>VLOOKUP($A415,'MG Universe'!$A$2:$R$9994,7)</f>
        <v>42401</v>
      </c>
      <c r="H415" s="22">
        <f>VLOOKUP($A415,'MG Universe'!$A$2:$R$9994,8)</f>
        <v>149.61000000000001</v>
      </c>
      <c r="I415" s="22">
        <f>VLOOKUP($A415,'MG Universe'!$A$2:$R$9994,9)</f>
        <v>60.97</v>
      </c>
      <c r="J415" s="23">
        <f>VLOOKUP($A415,'MG Universe'!$A$2:$R$9994,10)</f>
        <v>0.40749999999999997</v>
      </c>
      <c r="K415" s="105">
        <f>VLOOKUP($A415,'MG Universe'!$A$2:$R$9994,11)</f>
        <v>15.67</v>
      </c>
      <c r="L415" s="23">
        <f>VLOOKUP($A415,'MG Universe'!$A$2:$R$9994,12)</f>
        <v>1.6400000000000001E-2</v>
      </c>
      <c r="M415" s="106">
        <f>VLOOKUP($A415,'MG Universe'!$A$2:$R$9994,13)</f>
        <v>1.2</v>
      </c>
      <c r="N415" s="107">
        <f>VLOOKUP($A415,'MG Universe'!$A$2:$R$9994,14)</f>
        <v>3.31</v>
      </c>
      <c r="O415" s="22">
        <f>VLOOKUP($A415,'MG Universe'!$A$2:$R$9994,15)</f>
        <v>-27.5</v>
      </c>
      <c r="P415" s="23">
        <f>VLOOKUP($A415,'MG Universe'!$A$2:$R$9994,16)</f>
        <v>3.5900000000000001E-2</v>
      </c>
      <c r="Q415" s="109">
        <f>VLOOKUP($A415,'MG Universe'!$A$2:$R$9994,17)</f>
        <v>5</v>
      </c>
      <c r="R415" s="22">
        <f>VLOOKUP($A415,'MG Universe'!$A$2:$R$9994,18)</f>
        <v>33.29</v>
      </c>
    </row>
    <row r="416" spans="1:18" x14ac:dyDescent="0.55000000000000004">
      <c r="A416" s="18" t="s">
        <v>377</v>
      </c>
      <c r="B416" s="19" t="str">
        <f>VLOOKUP($A416,'MG Universe'!$A$2:$R$9994,2)</f>
        <v>Southern Co</v>
      </c>
      <c r="C416" s="19" t="str">
        <f>VLOOKUP($A416,'MG Universe'!$A$2:$R$9994,3)</f>
        <v>D+</v>
      </c>
      <c r="D416" s="19" t="str">
        <f>VLOOKUP($A416,'MG Universe'!$A$2:$R$9994,4)</f>
        <v>S</v>
      </c>
      <c r="E416" s="19" t="str">
        <f>VLOOKUP($A416,'MG Universe'!$A$2:$R$9994,5)</f>
        <v>O</v>
      </c>
      <c r="F416" s="20" t="str">
        <f>VLOOKUP($A416,'MG Universe'!$A$2:$R$9994,6)</f>
        <v>SO</v>
      </c>
      <c r="G416" s="103">
        <f>VLOOKUP($A416,'MG Universe'!$A$2:$R$9994,7)</f>
        <v>42032</v>
      </c>
      <c r="H416" s="22">
        <f>VLOOKUP($A416,'MG Universe'!$A$2:$R$9994,8)</f>
        <v>28.08</v>
      </c>
      <c r="I416" s="22">
        <f>VLOOKUP($A416,'MG Universe'!$A$2:$R$9994,9)</f>
        <v>47.98</v>
      </c>
      <c r="J416" s="23">
        <f>VLOOKUP($A416,'MG Universe'!$A$2:$R$9994,10)</f>
        <v>1.7087000000000001</v>
      </c>
      <c r="K416" s="105">
        <f>VLOOKUP($A416,'MG Universe'!$A$2:$R$9994,11)</f>
        <v>19.579999999999998</v>
      </c>
      <c r="L416" s="23">
        <f>VLOOKUP($A416,'MG Universe'!$A$2:$R$9994,12)</f>
        <v>4.5199999999999997E-2</v>
      </c>
      <c r="M416" s="106">
        <f>VLOOKUP($A416,'MG Universe'!$A$2:$R$9994,13)</f>
        <v>0</v>
      </c>
      <c r="N416" s="107">
        <f>VLOOKUP($A416,'MG Universe'!$A$2:$R$9994,14)</f>
        <v>0.91</v>
      </c>
      <c r="O416" s="22">
        <f>VLOOKUP($A416,'MG Universe'!$A$2:$R$9994,15)</f>
        <v>-45.21</v>
      </c>
      <c r="P416" s="23">
        <f>VLOOKUP($A416,'MG Universe'!$A$2:$R$9994,16)</f>
        <v>5.5399999999999998E-2</v>
      </c>
      <c r="Q416" s="109">
        <f>VLOOKUP($A416,'MG Universe'!$A$2:$R$9994,17)</f>
        <v>0</v>
      </c>
      <c r="R416" s="22">
        <f>VLOOKUP($A416,'MG Universe'!$A$2:$R$9994,18)</f>
        <v>0</v>
      </c>
    </row>
    <row r="417" spans="1:18" x14ac:dyDescent="0.55000000000000004">
      <c r="A417" s="18" t="s">
        <v>989</v>
      </c>
      <c r="B417" s="19" t="str">
        <f>VLOOKUP($A417,'MG Universe'!$A$2:$R$9994,2)</f>
        <v>Simon Property Group Inc</v>
      </c>
      <c r="C417" s="19" t="str">
        <f>VLOOKUP($A417,'MG Universe'!$A$2:$R$9994,3)</f>
        <v>D+</v>
      </c>
      <c r="D417" s="19" t="str">
        <f>VLOOKUP($A417,'MG Universe'!$A$2:$R$9994,4)</f>
        <v>S</v>
      </c>
      <c r="E417" s="19" t="str">
        <f>VLOOKUP($A417,'MG Universe'!$A$2:$R$9994,5)</f>
        <v>F</v>
      </c>
      <c r="F417" s="20" t="str">
        <f>VLOOKUP($A417,'MG Universe'!$A$2:$R$9994,6)</f>
        <v>SF</v>
      </c>
      <c r="G417" s="103">
        <f>VLOOKUP($A417,'MG Universe'!$A$2:$R$9994,7)</f>
        <v>42009</v>
      </c>
      <c r="H417" s="22">
        <f>VLOOKUP($A417,'MG Universe'!$A$2:$R$9994,8)</f>
        <v>216.32</v>
      </c>
      <c r="I417" s="22">
        <f>VLOOKUP($A417,'MG Universe'!$A$2:$R$9994,9)</f>
        <v>195.29</v>
      </c>
      <c r="J417" s="23">
        <f>VLOOKUP($A417,'MG Universe'!$A$2:$R$9994,10)</f>
        <v>0.90280000000000005</v>
      </c>
      <c r="K417" s="105">
        <f>VLOOKUP($A417,'MG Universe'!$A$2:$R$9994,11)</f>
        <v>34.75</v>
      </c>
      <c r="L417" s="23">
        <f>VLOOKUP($A417,'MG Universe'!$A$2:$R$9994,12)</f>
        <v>3.2800000000000003E-2</v>
      </c>
      <c r="M417" s="106">
        <f>VLOOKUP($A417,'MG Universe'!$A$2:$R$9994,13)</f>
        <v>0.7</v>
      </c>
      <c r="N417" s="107">
        <f>VLOOKUP($A417,'MG Universe'!$A$2:$R$9994,14)</f>
        <v>1.1599999999999999</v>
      </c>
      <c r="O417" s="22">
        <f>VLOOKUP($A417,'MG Universe'!$A$2:$R$9994,15)</f>
        <v>-75.02</v>
      </c>
      <c r="P417" s="23">
        <f>VLOOKUP($A417,'MG Universe'!$A$2:$R$9994,16)</f>
        <v>0.13120000000000001</v>
      </c>
      <c r="Q417" s="109">
        <f>VLOOKUP($A417,'MG Universe'!$A$2:$R$9994,17)</f>
        <v>0</v>
      </c>
      <c r="R417" s="22">
        <f>VLOOKUP($A417,'MG Universe'!$A$2:$R$9994,18)</f>
        <v>0</v>
      </c>
    </row>
    <row r="418" spans="1:18" x14ac:dyDescent="0.55000000000000004">
      <c r="A418" s="18" t="s">
        <v>449</v>
      </c>
      <c r="B418" s="19" t="str">
        <f>VLOOKUP($A418,'MG Universe'!$A$2:$R$9994,2)</f>
        <v>Staples, Inc.</v>
      </c>
      <c r="C418" s="19" t="str">
        <f>VLOOKUP($A418,'MG Universe'!$A$2:$R$9994,3)</f>
        <v>C</v>
      </c>
      <c r="D418" s="19" t="str">
        <f>VLOOKUP($A418,'MG Universe'!$A$2:$R$9994,4)</f>
        <v>S</v>
      </c>
      <c r="E418" s="19" t="str">
        <f>VLOOKUP($A418,'MG Universe'!$A$2:$R$9994,5)</f>
        <v>O</v>
      </c>
      <c r="F418" s="20" t="str">
        <f>VLOOKUP($A418,'MG Universe'!$A$2:$R$9994,6)</f>
        <v>SO</v>
      </c>
      <c r="G418" s="103">
        <f>VLOOKUP($A418,'MG Universe'!$A$2:$R$9994,7)</f>
        <v>42271</v>
      </c>
      <c r="H418" s="22">
        <f>VLOOKUP($A418,'MG Universe'!$A$2:$R$9994,8)</f>
        <v>0.41</v>
      </c>
      <c r="I418" s="22">
        <f>VLOOKUP($A418,'MG Universe'!$A$2:$R$9994,9)</f>
        <v>9.6999999999999993</v>
      </c>
      <c r="J418" s="23">
        <f>VLOOKUP($A418,'MG Universe'!$A$2:$R$9994,10)</f>
        <v>23.6585</v>
      </c>
      <c r="K418" s="105">
        <f>VLOOKUP($A418,'MG Universe'!$A$2:$R$9994,11)</f>
        <v>19.02</v>
      </c>
      <c r="L418" s="23">
        <f>VLOOKUP($A418,'MG Universe'!$A$2:$R$9994,12)</f>
        <v>4.9500000000000002E-2</v>
      </c>
      <c r="M418" s="106">
        <f>VLOOKUP($A418,'MG Universe'!$A$2:$R$9994,13)</f>
        <v>1.5</v>
      </c>
      <c r="N418" s="107">
        <f>VLOOKUP($A418,'MG Universe'!$A$2:$R$9994,14)</f>
        <v>1.58</v>
      </c>
      <c r="O418" s="22">
        <f>VLOOKUP($A418,'MG Universe'!$A$2:$R$9994,15)</f>
        <v>0.41</v>
      </c>
      <c r="P418" s="23">
        <f>VLOOKUP($A418,'MG Universe'!$A$2:$R$9994,16)</f>
        <v>5.2600000000000001E-2</v>
      </c>
      <c r="Q418" s="109">
        <f>VLOOKUP($A418,'MG Universe'!$A$2:$R$9994,17)</f>
        <v>0</v>
      </c>
      <c r="R418" s="22">
        <f>VLOOKUP($A418,'MG Universe'!$A$2:$R$9994,18)</f>
        <v>10.88</v>
      </c>
    </row>
    <row r="419" spans="1:18" x14ac:dyDescent="0.55000000000000004">
      <c r="A419" s="18" t="s">
        <v>1131</v>
      </c>
      <c r="B419" s="19" t="str">
        <f>VLOOKUP($A419,'MG Universe'!$A$2:$R$9994,2)</f>
        <v>Stericycle Inc</v>
      </c>
      <c r="C419" s="19" t="str">
        <f>VLOOKUP($A419,'MG Universe'!$A$2:$R$9994,3)</f>
        <v>F</v>
      </c>
      <c r="D419" s="19" t="str">
        <f>VLOOKUP($A419,'MG Universe'!$A$2:$R$9994,4)</f>
        <v>S</v>
      </c>
      <c r="E419" s="19" t="str">
        <f>VLOOKUP($A419,'MG Universe'!$A$2:$R$9994,5)</f>
        <v>O</v>
      </c>
      <c r="F419" s="20" t="str">
        <f>VLOOKUP($A419,'MG Universe'!$A$2:$R$9994,6)</f>
        <v>SO</v>
      </c>
      <c r="G419" s="103">
        <f>VLOOKUP($A419,'MG Universe'!$A$2:$R$9994,7)</f>
        <v>42284</v>
      </c>
      <c r="H419" s="22">
        <f>VLOOKUP($A419,'MG Universe'!$A$2:$R$9994,8)</f>
        <v>94.95</v>
      </c>
      <c r="I419" s="22">
        <f>VLOOKUP($A419,'MG Universe'!$A$2:$R$9994,9)</f>
        <v>114.65</v>
      </c>
      <c r="J419" s="23">
        <f>VLOOKUP($A419,'MG Universe'!$A$2:$R$9994,10)</f>
        <v>1.2075</v>
      </c>
      <c r="K419" s="105">
        <f>VLOOKUP($A419,'MG Universe'!$A$2:$R$9994,11)</f>
        <v>31.85</v>
      </c>
      <c r="L419" s="23" t="str">
        <f>VLOOKUP($A419,'MG Universe'!$A$2:$R$9994,12)</f>
        <v>N/A</v>
      </c>
      <c r="M419" s="106">
        <f>VLOOKUP($A419,'MG Universe'!$A$2:$R$9994,13)</f>
        <v>0.2</v>
      </c>
      <c r="N419" s="107">
        <f>VLOOKUP($A419,'MG Universe'!$A$2:$R$9994,14)</f>
        <v>1.3</v>
      </c>
      <c r="O419" s="22">
        <f>VLOOKUP($A419,'MG Universe'!$A$2:$R$9994,15)</f>
        <v>-22.08</v>
      </c>
      <c r="P419" s="23">
        <f>VLOOKUP($A419,'MG Universe'!$A$2:$R$9994,16)</f>
        <v>0.1167</v>
      </c>
      <c r="Q419" s="109">
        <f>VLOOKUP($A419,'MG Universe'!$A$2:$R$9994,17)</f>
        <v>0</v>
      </c>
      <c r="R419" s="22">
        <f>VLOOKUP($A419,'MG Universe'!$A$2:$R$9994,18)</f>
        <v>44.77</v>
      </c>
    </row>
    <row r="420" spans="1:18" x14ac:dyDescent="0.55000000000000004">
      <c r="A420" s="18" t="s">
        <v>993</v>
      </c>
      <c r="B420" s="19" t="str">
        <f>VLOOKUP($A420,'MG Universe'!$A$2:$R$9994,2)</f>
        <v>Sempra Energy</v>
      </c>
      <c r="C420" s="19" t="str">
        <f>VLOOKUP($A420,'MG Universe'!$A$2:$R$9994,3)</f>
        <v>D+</v>
      </c>
      <c r="D420" s="19" t="str">
        <f>VLOOKUP($A420,'MG Universe'!$A$2:$R$9994,4)</f>
        <v>S</v>
      </c>
      <c r="E420" s="19" t="str">
        <f>VLOOKUP($A420,'MG Universe'!$A$2:$R$9994,5)</f>
        <v>O</v>
      </c>
      <c r="F420" s="20" t="str">
        <f>VLOOKUP($A420,'MG Universe'!$A$2:$R$9994,6)</f>
        <v>SO</v>
      </c>
      <c r="G420" s="103">
        <f>VLOOKUP($A420,'MG Universe'!$A$2:$R$9994,7)</f>
        <v>42303</v>
      </c>
      <c r="H420" s="22">
        <f>VLOOKUP($A420,'MG Universe'!$A$2:$R$9994,8)</f>
        <v>39.29</v>
      </c>
      <c r="I420" s="22">
        <f>VLOOKUP($A420,'MG Universe'!$A$2:$R$9994,9)</f>
        <v>97.44</v>
      </c>
      <c r="J420" s="23">
        <f>VLOOKUP($A420,'MG Universe'!$A$2:$R$9994,10)</f>
        <v>2.48</v>
      </c>
      <c r="K420" s="105">
        <f>VLOOKUP($A420,'MG Universe'!$A$2:$R$9994,11)</f>
        <v>21.9</v>
      </c>
      <c r="L420" s="23">
        <f>VLOOKUP($A420,'MG Universe'!$A$2:$R$9994,12)</f>
        <v>3.1E-2</v>
      </c>
      <c r="M420" s="106">
        <f>VLOOKUP($A420,'MG Universe'!$A$2:$R$9994,13)</f>
        <v>0.4</v>
      </c>
      <c r="N420" s="107">
        <f>VLOOKUP($A420,'MG Universe'!$A$2:$R$9994,14)</f>
        <v>0.8</v>
      </c>
      <c r="O420" s="22">
        <f>VLOOKUP($A420,'MG Universe'!$A$2:$R$9994,15)</f>
        <v>-98.6</v>
      </c>
      <c r="P420" s="23">
        <f>VLOOKUP($A420,'MG Universe'!$A$2:$R$9994,16)</f>
        <v>6.7000000000000004E-2</v>
      </c>
      <c r="Q420" s="109">
        <f>VLOOKUP($A420,'MG Universe'!$A$2:$R$9994,17)</f>
        <v>5</v>
      </c>
      <c r="R420" s="22">
        <f>VLOOKUP($A420,'MG Universe'!$A$2:$R$9994,18)</f>
        <v>71.02</v>
      </c>
    </row>
    <row r="421" spans="1:18" x14ac:dyDescent="0.55000000000000004">
      <c r="A421" s="18" t="s">
        <v>122</v>
      </c>
      <c r="B421" s="19" t="str">
        <f>VLOOKUP($A421,'MG Universe'!$A$2:$R$9994,2)</f>
        <v>SunTrust Banks, Inc.</v>
      </c>
      <c r="C421" s="19" t="str">
        <f>VLOOKUP($A421,'MG Universe'!$A$2:$R$9994,3)</f>
        <v>A-</v>
      </c>
      <c r="D421" s="19" t="str">
        <f>VLOOKUP($A421,'MG Universe'!$A$2:$R$9994,4)</f>
        <v>E</v>
      </c>
      <c r="E421" s="19" t="str">
        <f>VLOOKUP($A421,'MG Universe'!$A$2:$R$9994,5)</f>
        <v>U</v>
      </c>
      <c r="F421" s="20" t="str">
        <f>VLOOKUP($A421,'MG Universe'!$A$2:$R$9994,6)</f>
        <v>EU</v>
      </c>
      <c r="G421" s="103">
        <f>VLOOKUP($A421,'MG Universe'!$A$2:$R$9994,7)</f>
        <v>42417</v>
      </c>
      <c r="H421" s="22">
        <f>VLOOKUP($A421,'MG Universe'!$A$2:$R$9994,8)</f>
        <v>124.28</v>
      </c>
      <c r="I421" s="22">
        <f>VLOOKUP($A421,'MG Universe'!$A$2:$R$9994,9)</f>
        <v>35.99</v>
      </c>
      <c r="J421" s="23">
        <f>VLOOKUP($A421,'MG Universe'!$A$2:$R$9994,10)</f>
        <v>0.28960000000000002</v>
      </c>
      <c r="K421" s="105">
        <f>VLOOKUP($A421,'MG Universe'!$A$2:$R$9994,11)</f>
        <v>11.14</v>
      </c>
      <c r="L421" s="23">
        <f>VLOOKUP($A421,'MG Universe'!$A$2:$R$9994,12)</f>
        <v>2.6700000000000002E-2</v>
      </c>
      <c r="M421" s="106">
        <f>VLOOKUP($A421,'MG Universe'!$A$2:$R$9994,13)</f>
        <v>1.5</v>
      </c>
      <c r="N421" s="107" t="str">
        <f>VLOOKUP($A421,'MG Universe'!$A$2:$R$9994,14)</f>
        <v>N/A</v>
      </c>
      <c r="O421" s="22" t="str">
        <f>VLOOKUP($A421,'MG Universe'!$A$2:$R$9994,15)</f>
        <v>N/A</v>
      </c>
      <c r="P421" s="23">
        <f>VLOOKUP($A421,'MG Universe'!$A$2:$R$9994,16)</f>
        <v>1.32E-2</v>
      </c>
      <c r="Q421" s="109">
        <f>VLOOKUP($A421,'MG Universe'!$A$2:$R$9994,17)</f>
        <v>6</v>
      </c>
      <c r="R421" s="22">
        <f>VLOOKUP($A421,'MG Universe'!$A$2:$R$9994,18)</f>
        <v>56.02</v>
      </c>
    </row>
    <row r="422" spans="1:18" x14ac:dyDescent="0.55000000000000004">
      <c r="A422" s="18" t="s">
        <v>600</v>
      </c>
      <c r="B422" s="19" t="str">
        <f>VLOOKUP($A422,'MG Universe'!$A$2:$R$9994,2)</f>
        <v>St. Jude Medical, Inc.</v>
      </c>
      <c r="C422" s="19" t="str">
        <f>VLOOKUP($A422,'MG Universe'!$A$2:$R$9994,3)</f>
        <v>C-</v>
      </c>
      <c r="D422" s="19" t="str">
        <f>VLOOKUP($A422,'MG Universe'!$A$2:$R$9994,4)</f>
        <v>S</v>
      </c>
      <c r="E422" s="19" t="str">
        <f>VLOOKUP($A422,'MG Universe'!$A$2:$R$9994,5)</f>
        <v>F</v>
      </c>
      <c r="F422" s="20" t="str">
        <f>VLOOKUP($A422,'MG Universe'!$A$2:$R$9994,6)</f>
        <v>SF</v>
      </c>
      <c r="G422" s="103">
        <f>VLOOKUP($A422,'MG Universe'!$A$2:$R$9994,7)</f>
        <v>42052</v>
      </c>
      <c r="H422" s="22">
        <f>VLOOKUP($A422,'MG Universe'!$A$2:$R$9994,8)</f>
        <v>56.49</v>
      </c>
      <c r="I422" s="22">
        <f>VLOOKUP($A422,'MG Universe'!$A$2:$R$9994,9)</f>
        <v>54.92</v>
      </c>
      <c r="J422" s="23">
        <f>VLOOKUP($A422,'MG Universe'!$A$2:$R$9994,10)</f>
        <v>0.97219999999999995</v>
      </c>
      <c r="K422" s="105">
        <f>VLOOKUP($A422,'MG Universe'!$A$2:$R$9994,11)</f>
        <v>19.54</v>
      </c>
      <c r="L422" s="23">
        <f>VLOOKUP($A422,'MG Universe'!$A$2:$R$9994,12)</f>
        <v>2.2599999999999999E-2</v>
      </c>
      <c r="M422" s="106">
        <f>VLOOKUP($A422,'MG Universe'!$A$2:$R$9994,13)</f>
        <v>1.3</v>
      </c>
      <c r="N422" s="107">
        <f>VLOOKUP($A422,'MG Universe'!$A$2:$R$9994,14)</f>
        <v>1.47</v>
      </c>
      <c r="O422" s="22">
        <f>VLOOKUP($A422,'MG Universe'!$A$2:$R$9994,15)</f>
        <v>-7.05</v>
      </c>
      <c r="P422" s="23">
        <f>VLOOKUP($A422,'MG Universe'!$A$2:$R$9994,16)</f>
        <v>5.5199999999999999E-2</v>
      </c>
      <c r="Q422" s="109">
        <f>VLOOKUP($A422,'MG Universe'!$A$2:$R$9994,17)</f>
        <v>0</v>
      </c>
      <c r="R422" s="22">
        <f>VLOOKUP($A422,'MG Universe'!$A$2:$R$9994,18)</f>
        <v>0</v>
      </c>
    </row>
    <row r="423" spans="1:18" x14ac:dyDescent="0.55000000000000004">
      <c r="A423" s="18" t="s">
        <v>124</v>
      </c>
      <c r="B423" s="19" t="str">
        <f>VLOOKUP($A423,'MG Universe'!$A$2:$R$9994,2)</f>
        <v>State Street Corp</v>
      </c>
      <c r="C423" s="19" t="str">
        <f>VLOOKUP($A423,'MG Universe'!$A$2:$R$9994,3)</f>
        <v>A-</v>
      </c>
      <c r="D423" s="19" t="str">
        <f>VLOOKUP($A423,'MG Universe'!$A$2:$R$9994,4)</f>
        <v>E</v>
      </c>
      <c r="E423" s="19" t="str">
        <f>VLOOKUP($A423,'MG Universe'!$A$2:$R$9994,5)</f>
        <v>U</v>
      </c>
      <c r="F423" s="20" t="str">
        <f>VLOOKUP($A423,'MG Universe'!$A$2:$R$9994,6)</f>
        <v>EU</v>
      </c>
      <c r="G423" s="103">
        <f>VLOOKUP($A423,'MG Universe'!$A$2:$R$9994,7)</f>
        <v>42335</v>
      </c>
      <c r="H423" s="22">
        <f>VLOOKUP($A423,'MG Universe'!$A$2:$R$9994,8)</f>
        <v>168.45</v>
      </c>
      <c r="I423" s="22">
        <f>VLOOKUP($A423,'MG Universe'!$A$2:$R$9994,9)</f>
        <v>57.69</v>
      </c>
      <c r="J423" s="23">
        <f>VLOOKUP($A423,'MG Universe'!$A$2:$R$9994,10)</f>
        <v>0.34250000000000003</v>
      </c>
      <c r="K423" s="105">
        <f>VLOOKUP($A423,'MG Universe'!$A$2:$R$9994,11)</f>
        <v>13.17</v>
      </c>
      <c r="L423" s="23">
        <f>VLOOKUP($A423,'MG Universe'!$A$2:$R$9994,12)</f>
        <v>2.3599999999999999E-2</v>
      </c>
      <c r="M423" s="106">
        <f>VLOOKUP($A423,'MG Universe'!$A$2:$R$9994,13)</f>
        <v>1.5</v>
      </c>
      <c r="N423" s="107" t="str">
        <f>VLOOKUP($A423,'MG Universe'!$A$2:$R$9994,14)</f>
        <v>N/A</v>
      </c>
      <c r="O423" s="22" t="str">
        <f>VLOOKUP($A423,'MG Universe'!$A$2:$R$9994,15)</f>
        <v>N/A</v>
      </c>
      <c r="P423" s="23">
        <f>VLOOKUP($A423,'MG Universe'!$A$2:$R$9994,16)</f>
        <v>2.3400000000000001E-2</v>
      </c>
      <c r="Q423" s="109">
        <f>VLOOKUP($A423,'MG Universe'!$A$2:$R$9994,17)</f>
        <v>5</v>
      </c>
      <c r="R423" s="22">
        <f>VLOOKUP($A423,'MG Universe'!$A$2:$R$9994,18)</f>
        <v>66.44</v>
      </c>
    </row>
    <row r="424" spans="1:18" x14ac:dyDescent="0.55000000000000004">
      <c r="A424" s="18" t="s">
        <v>201</v>
      </c>
      <c r="B424" s="19" t="str">
        <f>VLOOKUP($A424,'MG Universe'!$A$2:$R$9994,2)</f>
        <v>Seagate Technology PLC</v>
      </c>
      <c r="C424" s="19" t="str">
        <f>VLOOKUP($A424,'MG Universe'!$A$2:$R$9994,3)</f>
        <v>B</v>
      </c>
      <c r="D424" s="19" t="str">
        <f>VLOOKUP($A424,'MG Universe'!$A$2:$R$9994,4)</f>
        <v>E</v>
      </c>
      <c r="E424" s="19" t="str">
        <f>VLOOKUP($A424,'MG Universe'!$A$2:$R$9994,5)</f>
        <v>U</v>
      </c>
      <c r="F424" s="20" t="str">
        <f>VLOOKUP($A424,'MG Universe'!$A$2:$R$9994,6)</f>
        <v>EU</v>
      </c>
      <c r="G424" s="103">
        <f>VLOOKUP($A424,'MG Universe'!$A$2:$R$9994,7)</f>
        <v>42395</v>
      </c>
      <c r="H424" s="22">
        <f>VLOOKUP($A424,'MG Universe'!$A$2:$R$9994,8)</f>
        <v>126.55</v>
      </c>
      <c r="I424" s="22">
        <f>VLOOKUP($A424,'MG Universe'!$A$2:$R$9994,9)</f>
        <v>33.93</v>
      </c>
      <c r="J424" s="23">
        <f>VLOOKUP($A424,'MG Universe'!$A$2:$R$9994,10)</f>
        <v>0.2681</v>
      </c>
      <c r="K424" s="105">
        <f>VLOOKUP($A424,'MG Universe'!$A$2:$R$9994,11)</f>
        <v>8.1999999999999993</v>
      </c>
      <c r="L424" s="23">
        <f>VLOOKUP($A424,'MG Universe'!$A$2:$R$9994,12)</f>
        <v>7.4300000000000005E-2</v>
      </c>
      <c r="M424" s="106">
        <f>VLOOKUP($A424,'MG Universe'!$A$2:$R$9994,13)</f>
        <v>2.5</v>
      </c>
      <c r="N424" s="107">
        <f>VLOOKUP($A424,'MG Universe'!$A$2:$R$9994,14)</f>
        <v>1.8</v>
      </c>
      <c r="O424" s="22">
        <f>VLOOKUP($A424,'MG Universe'!$A$2:$R$9994,15)</f>
        <v>-7.39</v>
      </c>
      <c r="P424" s="23">
        <f>VLOOKUP($A424,'MG Universe'!$A$2:$R$9994,16)</f>
        <v>-1.5E-3</v>
      </c>
      <c r="Q424" s="109">
        <f>VLOOKUP($A424,'MG Universe'!$A$2:$R$9994,17)</f>
        <v>6</v>
      </c>
      <c r="R424" s="22">
        <f>VLOOKUP($A424,'MG Universe'!$A$2:$R$9994,18)</f>
        <v>18.059999999999999</v>
      </c>
    </row>
    <row r="425" spans="1:18" x14ac:dyDescent="0.55000000000000004">
      <c r="A425" s="18" t="s">
        <v>1149</v>
      </c>
      <c r="B425" s="19" t="str">
        <f>VLOOKUP($A425,'MG Universe'!$A$2:$R$9994,2)</f>
        <v>Constellation Brands, Inc.</v>
      </c>
      <c r="C425" s="19" t="e">
        <f>VLOOKUP($A425,'MG Universe'!$A$2:$R$9994,3)</f>
        <v>#REF!</v>
      </c>
      <c r="D425" s="19" t="str">
        <f>VLOOKUP($A425,'MG Universe'!$A$2:$R$9994,4)</f>
        <v>E</v>
      </c>
      <c r="E425" s="19" t="str">
        <f>VLOOKUP($A425,'MG Universe'!$A$2:$R$9994,5)</f>
        <v>F</v>
      </c>
      <c r="F425" s="20" t="str">
        <f>VLOOKUP($A425,'MG Universe'!$A$2:$R$9994,6)</f>
        <v>EF</v>
      </c>
      <c r="G425" s="103">
        <f>VLOOKUP($A425,'MG Universe'!$A$2:$R$9994,7)</f>
        <v>42377</v>
      </c>
      <c r="H425" s="22">
        <f>VLOOKUP($A425,'MG Universe'!$A$2:$R$9994,8)</f>
        <v>168.71</v>
      </c>
      <c r="I425" s="22">
        <f>VLOOKUP($A425,'MG Universe'!$A$2:$R$9994,9)</f>
        <v>143.78</v>
      </c>
      <c r="J425" s="23">
        <f>VLOOKUP($A425,'MG Universe'!$A$2:$R$9994,10)</f>
        <v>0.85219999999999996</v>
      </c>
      <c r="K425" s="105">
        <f>VLOOKUP($A425,'MG Universe'!$A$2:$R$9994,11)</f>
        <v>32.83</v>
      </c>
      <c r="L425" s="23" t="e">
        <f>VLOOKUP($A425,'MG Universe'!$A$2:$R$9994,12)</f>
        <v>#REF!</v>
      </c>
      <c r="M425" s="106">
        <f>VLOOKUP($A425,'MG Universe'!$A$2:$R$9994,13)</f>
        <v>0.9</v>
      </c>
      <c r="N425" s="107">
        <f>VLOOKUP($A425,'MG Universe'!$A$2:$R$9994,14)</f>
        <v>2.58</v>
      </c>
      <c r="O425" s="22">
        <f>VLOOKUP($A425,'MG Universe'!$A$2:$R$9994,15)</f>
        <v>-31.9</v>
      </c>
      <c r="P425" s="23">
        <f>VLOOKUP($A425,'MG Universe'!$A$2:$R$9994,16)</f>
        <v>0.1216</v>
      </c>
      <c r="Q425" s="109">
        <f>VLOOKUP($A425,'MG Universe'!$A$2:$R$9994,17)</f>
        <v>1</v>
      </c>
      <c r="R425" s="22">
        <f>VLOOKUP($A425,'MG Universe'!$A$2:$R$9994,18)</f>
        <v>43.09</v>
      </c>
    </row>
    <row r="426" spans="1:18" x14ac:dyDescent="0.55000000000000004">
      <c r="A426" s="18" t="s">
        <v>451</v>
      </c>
      <c r="B426" s="19" t="str">
        <f>VLOOKUP($A426,'MG Universe'!$A$2:$R$9994,2)</f>
        <v>Stanley Black &amp; Decker, Inc.</v>
      </c>
      <c r="C426" s="19" t="str">
        <f>VLOOKUP($A426,'MG Universe'!$A$2:$R$9994,3)</f>
        <v>C</v>
      </c>
      <c r="D426" s="19" t="str">
        <f>VLOOKUP($A426,'MG Universe'!$A$2:$R$9994,4)</f>
        <v>S</v>
      </c>
      <c r="E426" s="19" t="str">
        <f>VLOOKUP($A426,'MG Universe'!$A$2:$R$9994,5)</f>
        <v>F</v>
      </c>
      <c r="F426" s="20" t="str">
        <f>VLOOKUP($A426,'MG Universe'!$A$2:$R$9994,6)</f>
        <v>SF</v>
      </c>
      <c r="G426" s="103">
        <f>VLOOKUP($A426,'MG Universe'!$A$2:$R$9994,7)</f>
        <v>42397</v>
      </c>
      <c r="H426" s="22">
        <f>VLOOKUP($A426,'MG Universe'!$A$2:$R$9994,8)</f>
        <v>125.2</v>
      </c>
      <c r="I426" s="22">
        <f>VLOOKUP($A426,'MG Universe'!$A$2:$R$9994,9)</f>
        <v>96.82</v>
      </c>
      <c r="J426" s="23">
        <f>VLOOKUP($A426,'MG Universe'!$A$2:$R$9994,10)</f>
        <v>0.77329999999999999</v>
      </c>
      <c r="K426" s="105">
        <f>VLOOKUP($A426,'MG Universe'!$A$2:$R$9994,11)</f>
        <v>20.21</v>
      </c>
      <c r="L426" s="23">
        <f>VLOOKUP($A426,'MG Universe'!$A$2:$R$9994,12)</f>
        <v>2.2700000000000001E-2</v>
      </c>
      <c r="M426" s="106">
        <f>VLOOKUP($A426,'MG Universe'!$A$2:$R$9994,13)</f>
        <v>1.4</v>
      </c>
      <c r="N426" s="107">
        <f>VLOOKUP($A426,'MG Universe'!$A$2:$R$9994,14)</f>
        <v>1.25</v>
      </c>
      <c r="O426" s="22">
        <f>VLOOKUP($A426,'MG Universe'!$A$2:$R$9994,15)</f>
        <v>-39.520000000000003</v>
      </c>
      <c r="P426" s="23">
        <f>VLOOKUP($A426,'MG Universe'!$A$2:$R$9994,16)</f>
        <v>5.8599999999999999E-2</v>
      </c>
      <c r="Q426" s="109">
        <f>VLOOKUP($A426,'MG Universe'!$A$2:$R$9994,17)</f>
        <v>20</v>
      </c>
      <c r="R426" s="22">
        <f>VLOOKUP($A426,'MG Universe'!$A$2:$R$9994,18)</f>
        <v>68.319999999999993</v>
      </c>
    </row>
    <row r="427" spans="1:18" x14ac:dyDescent="0.55000000000000004">
      <c r="A427" s="18" t="s">
        <v>277</v>
      </c>
      <c r="B427" s="19" t="str">
        <f>VLOOKUP($A427,'MG Universe'!$A$2:$R$9994,2)</f>
        <v>Skyworks Solutions Inc</v>
      </c>
      <c r="C427" s="19" t="str">
        <f>VLOOKUP($A427,'MG Universe'!$A$2:$R$9994,3)</f>
        <v>B-</v>
      </c>
      <c r="D427" s="19" t="str">
        <f>VLOOKUP($A427,'MG Universe'!$A$2:$R$9994,4)</f>
        <v>E</v>
      </c>
      <c r="E427" s="19" t="str">
        <f>VLOOKUP($A427,'MG Universe'!$A$2:$R$9994,5)</f>
        <v>U</v>
      </c>
      <c r="F427" s="20" t="str">
        <f>VLOOKUP($A427,'MG Universe'!$A$2:$R$9994,6)</f>
        <v>EU</v>
      </c>
      <c r="G427" s="103">
        <f>VLOOKUP($A427,'MG Universe'!$A$2:$R$9994,7)</f>
        <v>42417</v>
      </c>
      <c r="H427" s="22">
        <f>VLOOKUP($A427,'MG Universe'!$A$2:$R$9994,8)</f>
        <v>142.55000000000001</v>
      </c>
      <c r="I427" s="22">
        <f>VLOOKUP($A427,'MG Universe'!$A$2:$R$9994,9)</f>
        <v>68.98</v>
      </c>
      <c r="J427" s="23">
        <f>VLOOKUP($A427,'MG Universe'!$A$2:$R$9994,10)</f>
        <v>0.4839</v>
      </c>
      <c r="K427" s="105">
        <f>VLOOKUP($A427,'MG Universe'!$A$2:$R$9994,11)</f>
        <v>18.64</v>
      </c>
      <c r="L427" s="23">
        <f>VLOOKUP($A427,'MG Universe'!$A$2:$R$9994,12)</f>
        <v>1.5100000000000001E-2</v>
      </c>
      <c r="M427" s="106">
        <f>VLOOKUP($A427,'MG Universe'!$A$2:$R$9994,13)</f>
        <v>1.2</v>
      </c>
      <c r="N427" s="107">
        <f>VLOOKUP($A427,'MG Universe'!$A$2:$R$9994,14)</f>
        <v>5.75</v>
      </c>
      <c r="O427" s="22">
        <f>VLOOKUP($A427,'MG Universe'!$A$2:$R$9994,15)</f>
        <v>8.56</v>
      </c>
      <c r="P427" s="23">
        <f>VLOOKUP($A427,'MG Universe'!$A$2:$R$9994,16)</f>
        <v>5.0700000000000002E-2</v>
      </c>
      <c r="Q427" s="109">
        <f>VLOOKUP($A427,'MG Universe'!$A$2:$R$9994,17)</f>
        <v>3</v>
      </c>
      <c r="R427" s="22">
        <f>VLOOKUP($A427,'MG Universe'!$A$2:$R$9994,18)</f>
        <v>47.96</v>
      </c>
    </row>
    <row r="428" spans="1:18" x14ac:dyDescent="0.55000000000000004">
      <c r="A428" s="18" t="s">
        <v>1133</v>
      </c>
      <c r="B428" s="19" t="str">
        <f>VLOOKUP($A428,'MG Universe'!$A$2:$R$9994,2)</f>
        <v>Southwestern Energy Company</v>
      </c>
      <c r="C428" s="19" t="str">
        <f>VLOOKUP($A428,'MG Universe'!$A$2:$R$9994,3)</f>
        <v>F</v>
      </c>
      <c r="D428" s="19" t="str">
        <f>VLOOKUP($A428,'MG Universe'!$A$2:$R$9994,4)</f>
        <v>S</v>
      </c>
      <c r="E428" s="19" t="str">
        <f>VLOOKUP($A428,'MG Universe'!$A$2:$R$9994,5)</f>
        <v>O</v>
      </c>
      <c r="F428" s="20" t="str">
        <f>VLOOKUP($A428,'MG Universe'!$A$2:$R$9994,6)</f>
        <v>SO</v>
      </c>
      <c r="G428" s="103">
        <f>VLOOKUP($A428,'MG Universe'!$A$2:$R$9994,7)</f>
        <v>42402</v>
      </c>
      <c r="H428" s="22">
        <f>VLOOKUP($A428,'MG Universe'!$A$2:$R$9994,8)</f>
        <v>0</v>
      </c>
      <c r="I428" s="22">
        <f>VLOOKUP($A428,'MG Universe'!$A$2:$R$9994,9)</f>
        <v>6.2</v>
      </c>
      <c r="J428" s="23" t="str">
        <f>VLOOKUP($A428,'MG Universe'!$A$2:$R$9994,10)</f>
        <v>N/A</v>
      </c>
      <c r="K428" s="105" t="str">
        <f>VLOOKUP($A428,'MG Universe'!$A$2:$R$9994,11)</f>
        <v>N/A</v>
      </c>
      <c r="L428" s="23" t="str">
        <f>VLOOKUP($A428,'MG Universe'!$A$2:$R$9994,12)</f>
        <v>N/A</v>
      </c>
      <c r="M428" s="106">
        <f>VLOOKUP($A428,'MG Universe'!$A$2:$R$9994,13)</f>
        <v>1.1000000000000001</v>
      </c>
      <c r="N428" s="107">
        <f>VLOOKUP($A428,'MG Universe'!$A$2:$R$9994,14)</f>
        <v>0.73</v>
      </c>
      <c r="O428" s="22">
        <f>VLOOKUP($A428,'MG Universe'!$A$2:$R$9994,15)</f>
        <v>-14.96</v>
      </c>
      <c r="P428" s="23">
        <f>VLOOKUP($A428,'MG Universe'!$A$2:$R$9994,16)</f>
        <v>-6.5799999999999997E-2</v>
      </c>
      <c r="Q428" s="109">
        <f>VLOOKUP($A428,'MG Universe'!$A$2:$R$9994,17)</f>
        <v>0</v>
      </c>
      <c r="R428" s="22" t="str">
        <f>VLOOKUP($A428,'MG Universe'!$A$2:$R$9994,18)</f>
        <v>N/A</v>
      </c>
    </row>
    <row r="429" spans="1:18" x14ac:dyDescent="0.55000000000000004">
      <c r="A429" s="18" t="s">
        <v>602</v>
      </c>
      <c r="B429" s="19" t="str">
        <f>VLOOKUP($A429,'MG Universe'!$A$2:$R$9994,2)</f>
        <v>Stryker Corporation</v>
      </c>
      <c r="C429" s="19" t="str">
        <f>VLOOKUP($A429,'MG Universe'!$A$2:$R$9994,3)</f>
        <v>C-</v>
      </c>
      <c r="D429" s="19" t="str">
        <f>VLOOKUP($A429,'MG Universe'!$A$2:$R$9994,4)</f>
        <v>E</v>
      </c>
      <c r="E429" s="19" t="str">
        <f>VLOOKUP($A429,'MG Universe'!$A$2:$R$9994,5)</f>
        <v>O</v>
      </c>
      <c r="F429" s="20" t="str">
        <f>VLOOKUP($A429,'MG Universe'!$A$2:$R$9994,6)</f>
        <v>EO</v>
      </c>
      <c r="G429" s="103">
        <f>VLOOKUP($A429,'MG Universe'!$A$2:$R$9994,7)</f>
        <v>42395</v>
      </c>
      <c r="H429" s="22">
        <f>VLOOKUP($A429,'MG Universe'!$A$2:$R$9994,8)</f>
        <v>18.5</v>
      </c>
      <c r="I429" s="22">
        <f>VLOOKUP($A429,'MG Universe'!$A$2:$R$9994,9)</f>
        <v>101.52</v>
      </c>
      <c r="J429" s="23">
        <f>VLOOKUP($A429,'MG Universe'!$A$2:$R$9994,10)</f>
        <v>5.4875999999999996</v>
      </c>
      <c r="K429" s="105">
        <f>VLOOKUP($A429,'MG Universe'!$A$2:$R$9994,11)</f>
        <v>35.25</v>
      </c>
      <c r="L429" s="23">
        <f>VLOOKUP($A429,'MG Universe'!$A$2:$R$9994,12)</f>
        <v>1.4999999999999999E-2</v>
      </c>
      <c r="M429" s="106">
        <f>VLOOKUP($A429,'MG Universe'!$A$2:$R$9994,13)</f>
        <v>0.8</v>
      </c>
      <c r="N429" s="107">
        <f>VLOOKUP($A429,'MG Universe'!$A$2:$R$9994,14)</f>
        <v>2.2599999999999998</v>
      </c>
      <c r="O429" s="22">
        <f>VLOOKUP($A429,'MG Universe'!$A$2:$R$9994,15)</f>
        <v>1.58</v>
      </c>
      <c r="P429" s="23">
        <f>VLOOKUP($A429,'MG Universe'!$A$2:$R$9994,16)</f>
        <v>0.1338</v>
      </c>
      <c r="Q429" s="109">
        <f>VLOOKUP($A429,'MG Universe'!$A$2:$R$9994,17)</f>
        <v>6</v>
      </c>
      <c r="R429" s="22">
        <f>VLOOKUP($A429,'MG Universe'!$A$2:$R$9994,18)</f>
        <v>44.69</v>
      </c>
    </row>
    <row r="430" spans="1:18" x14ac:dyDescent="0.55000000000000004">
      <c r="A430" s="18" t="s">
        <v>203</v>
      </c>
      <c r="B430" s="19" t="str">
        <f>VLOOKUP($A430,'MG Universe'!$A$2:$R$9994,2)</f>
        <v>Symantec Corporation</v>
      </c>
      <c r="C430" s="19" t="str">
        <f>VLOOKUP($A430,'MG Universe'!$A$2:$R$9994,3)</f>
        <v>B</v>
      </c>
      <c r="D430" s="19" t="str">
        <f>VLOOKUP($A430,'MG Universe'!$A$2:$R$9994,4)</f>
        <v>E</v>
      </c>
      <c r="E430" s="19" t="str">
        <f>VLOOKUP($A430,'MG Universe'!$A$2:$R$9994,5)</f>
        <v>U</v>
      </c>
      <c r="F430" s="20" t="str">
        <f>VLOOKUP($A430,'MG Universe'!$A$2:$R$9994,6)</f>
        <v>EU</v>
      </c>
      <c r="G430" s="103">
        <f>VLOOKUP($A430,'MG Universe'!$A$2:$R$9994,7)</f>
        <v>42419</v>
      </c>
      <c r="H430" s="22">
        <f>VLOOKUP($A430,'MG Universe'!$A$2:$R$9994,8)</f>
        <v>43.74</v>
      </c>
      <c r="I430" s="22">
        <f>VLOOKUP($A430,'MG Universe'!$A$2:$R$9994,9)</f>
        <v>20.41</v>
      </c>
      <c r="J430" s="23">
        <f>VLOOKUP($A430,'MG Universe'!$A$2:$R$9994,10)</f>
        <v>0.46660000000000001</v>
      </c>
      <c r="K430" s="105">
        <f>VLOOKUP($A430,'MG Universe'!$A$2:$R$9994,11)</f>
        <v>17.899999999999999</v>
      </c>
      <c r="L430" s="23">
        <f>VLOOKUP($A430,'MG Universe'!$A$2:$R$9994,12)</f>
        <v>2.9399999999999999E-2</v>
      </c>
      <c r="M430" s="106">
        <f>VLOOKUP($A430,'MG Universe'!$A$2:$R$9994,13)</f>
        <v>1.1000000000000001</v>
      </c>
      <c r="N430" s="107">
        <f>VLOOKUP($A430,'MG Universe'!$A$2:$R$9994,14)</f>
        <v>1.87</v>
      </c>
      <c r="O430" s="22">
        <f>VLOOKUP($A430,'MG Universe'!$A$2:$R$9994,15)</f>
        <v>0.94</v>
      </c>
      <c r="P430" s="23">
        <f>VLOOKUP($A430,'MG Universe'!$A$2:$R$9994,16)</f>
        <v>4.7E-2</v>
      </c>
      <c r="Q430" s="109">
        <f>VLOOKUP($A430,'MG Universe'!$A$2:$R$9994,17)</f>
        <v>0</v>
      </c>
      <c r="R430" s="22">
        <f>VLOOKUP($A430,'MG Universe'!$A$2:$R$9994,18)</f>
        <v>12.6</v>
      </c>
    </row>
    <row r="431" spans="1:18" x14ac:dyDescent="0.55000000000000004">
      <c r="A431" s="18" t="s">
        <v>604</v>
      </c>
      <c r="B431" s="19" t="str">
        <f>VLOOKUP($A431,'MG Universe'!$A$2:$R$9994,2)</f>
        <v>SYSCO Corporation</v>
      </c>
      <c r="C431" s="19" t="str">
        <f>VLOOKUP($A431,'MG Universe'!$A$2:$R$9994,3)</f>
        <v>C-</v>
      </c>
      <c r="D431" s="19" t="str">
        <f>VLOOKUP($A431,'MG Universe'!$A$2:$R$9994,4)</f>
        <v>S</v>
      </c>
      <c r="E431" s="19" t="str">
        <f>VLOOKUP($A431,'MG Universe'!$A$2:$R$9994,5)</f>
        <v>O</v>
      </c>
      <c r="F431" s="20" t="str">
        <f>VLOOKUP($A431,'MG Universe'!$A$2:$R$9994,6)</f>
        <v>SO</v>
      </c>
      <c r="G431" s="103">
        <f>VLOOKUP($A431,'MG Universe'!$A$2:$R$9994,7)</f>
        <v>42255</v>
      </c>
      <c r="H431" s="22">
        <f>VLOOKUP($A431,'MG Universe'!$A$2:$R$9994,8)</f>
        <v>5.0999999999999996</v>
      </c>
      <c r="I431" s="22">
        <f>VLOOKUP($A431,'MG Universe'!$A$2:$R$9994,9)</f>
        <v>45.03</v>
      </c>
      <c r="J431" s="23">
        <f>VLOOKUP($A431,'MG Universe'!$A$2:$R$9994,10)</f>
        <v>8.8293999999999997</v>
      </c>
      <c r="K431" s="105">
        <f>VLOOKUP($A431,'MG Universe'!$A$2:$R$9994,11)</f>
        <v>28.5</v>
      </c>
      <c r="L431" s="23">
        <f>VLOOKUP($A431,'MG Universe'!$A$2:$R$9994,12)</f>
        <v>2.75E-2</v>
      </c>
      <c r="M431" s="106">
        <f>VLOOKUP($A431,'MG Universe'!$A$2:$R$9994,13)</f>
        <v>0.6</v>
      </c>
      <c r="N431" s="107">
        <f>VLOOKUP($A431,'MG Universe'!$A$2:$R$9994,14)</f>
        <v>1.22</v>
      </c>
      <c r="O431" s="22">
        <f>VLOOKUP($A431,'MG Universe'!$A$2:$R$9994,15)</f>
        <v>-2.06</v>
      </c>
      <c r="P431" s="23">
        <f>VLOOKUP($A431,'MG Universe'!$A$2:$R$9994,16)</f>
        <v>0.1</v>
      </c>
      <c r="Q431" s="109">
        <f>VLOOKUP($A431,'MG Universe'!$A$2:$R$9994,17)</f>
        <v>20</v>
      </c>
      <c r="R431" s="22">
        <f>VLOOKUP($A431,'MG Universe'!$A$2:$R$9994,18)</f>
        <v>18.91</v>
      </c>
    </row>
    <row r="432" spans="1:18" x14ac:dyDescent="0.55000000000000004">
      <c r="A432" s="18" t="s">
        <v>995</v>
      </c>
      <c r="B432" s="19" t="str">
        <f>VLOOKUP($A432,'MG Universe'!$A$2:$R$9994,2)</f>
        <v>AT&amp;T Inc.</v>
      </c>
      <c r="C432" s="19" t="str">
        <f>VLOOKUP($A432,'MG Universe'!$A$2:$R$9994,3)</f>
        <v>D+</v>
      </c>
      <c r="D432" s="19" t="str">
        <f>VLOOKUP($A432,'MG Universe'!$A$2:$R$9994,4)</f>
        <v>S</v>
      </c>
      <c r="E432" s="19" t="str">
        <f>VLOOKUP($A432,'MG Universe'!$A$2:$R$9994,5)</f>
        <v>O</v>
      </c>
      <c r="F432" s="20" t="str">
        <f>VLOOKUP($A432,'MG Universe'!$A$2:$R$9994,6)</f>
        <v>SO</v>
      </c>
      <c r="G432" s="103">
        <f>VLOOKUP($A432,'MG Universe'!$A$2:$R$9994,7)</f>
        <v>42047</v>
      </c>
      <c r="H432" s="22">
        <f>VLOOKUP($A432,'MG Universe'!$A$2:$R$9994,8)</f>
        <v>1.91</v>
      </c>
      <c r="I432" s="22">
        <f>VLOOKUP($A432,'MG Universe'!$A$2:$R$9994,9)</f>
        <v>37.67</v>
      </c>
      <c r="J432" s="23">
        <f>VLOOKUP($A432,'MG Universe'!$A$2:$R$9994,10)</f>
        <v>19.7225</v>
      </c>
      <c r="K432" s="105">
        <f>VLOOKUP($A432,'MG Universe'!$A$2:$R$9994,11)</f>
        <v>20.25</v>
      </c>
      <c r="L432" s="23">
        <f>VLOOKUP($A432,'MG Universe'!$A$2:$R$9994,12)</f>
        <v>5.0999999999999997E-2</v>
      </c>
      <c r="M432" s="106">
        <f>VLOOKUP($A432,'MG Universe'!$A$2:$R$9994,13)</f>
        <v>0.3</v>
      </c>
      <c r="N432" s="107">
        <f>VLOOKUP($A432,'MG Universe'!$A$2:$R$9994,14)</f>
        <v>0.86</v>
      </c>
      <c r="O432" s="22">
        <f>VLOOKUP($A432,'MG Universe'!$A$2:$R$9994,15)</f>
        <v>-1.01</v>
      </c>
      <c r="P432" s="23">
        <f>VLOOKUP($A432,'MG Universe'!$A$2:$R$9994,16)</f>
        <v>5.8799999999999998E-2</v>
      </c>
      <c r="Q432" s="109">
        <f>VLOOKUP($A432,'MG Universe'!$A$2:$R$9994,17)</f>
        <v>0</v>
      </c>
      <c r="R432" s="22">
        <f>VLOOKUP($A432,'MG Universe'!$A$2:$R$9994,18)</f>
        <v>0</v>
      </c>
    </row>
    <row r="433" spans="1:18" x14ac:dyDescent="0.55000000000000004">
      <c r="A433" s="18" t="s">
        <v>1135</v>
      </c>
      <c r="B433" s="19" t="str">
        <f>VLOOKUP($A433,'MG Universe'!$A$2:$R$9994,2)</f>
        <v>Molson Coors Brewing Company</v>
      </c>
      <c r="C433" s="19" t="str">
        <f>VLOOKUP($A433,'MG Universe'!$A$2:$R$9994,3)</f>
        <v>F</v>
      </c>
      <c r="D433" s="19" t="str">
        <f>VLOOKUP($A433,'MG Universe'!$A$2:$R$9994,4)</f>
        <v>S</v>
      </c>
      <c r="E433" s="19" t="str">
        <f>VLOOKUP($A433,'MG Universe'!$A$2:$R$9994,5)</f>
        <v>O</v>
      </c>
      <c r="F433" s="20" t="str">
        <f>VLOOKUP($A433,'MG Universe'!$A$2:$R$9994,6)</f>
        <v>SO</v>
      </c>
      <c r="G433" s="103">
        <f>VLOOKUP($A433,'MG Universe'!$A$2:$R$9994,7)</f>
        <v>42314</v>
      </c>
      <c r="H433" s="22">
        <f>VLOOKUP($A433,'MG Universe'!$A$2:$R$9994,8)</f>
        <v>5.73</v>
      </c>
      <c r="I433" s="22">
        <f>VLOOKUP($A433,'MG Universe'!$A$2:$R$9994,9)</f>
        <v>86.63</v>
      </c>
      <c r="J433" s="23">
        <f>VLOOKUP($A433,'MG Universe'!$A$2:$R$9994,10)</f>
        <v>15.1187</v>
      </c>
      <c r="K433" s="105">
        <f>VLOOKUP($A433,'MG Universe'!$A$2:$R$9994,11)</f>
        <v>31.97</v>
      </c>
      <c r="L433" s="23">
        <f>VLOOKUP($A433,'MG Universe'!$A$2:$R$9994,12)</f>
        <v>1.89E-2</v>
      </c>
      <c r="M433" s="106">
        <f>VLOOKUP($A433,'MG Universe'!$A$2:$R$9994,13)</f>
        <v>0.9</v>
      </c>
      <c r="N433" s="107">
        <f>VLOOKUP($A433,'MG Universe'!$A$2:$R$9994,14)</f>
        <v>0.63</v>
      </c>
      <c r="O433" s="22">
        <f>VLOOKUP($A433,'MG Universe'!$A$2:$R$9994,15)</f>
        <v>-23.13</v>
      </c>
      <c r="P433" s="23">
        <f>VLOOKUP($A433,'MG Universe'!$A$2:$R$9994,16)</f>
        <v>0.1173</v>
      </c>
      <c r="Q433" s="109">
        <f>VLOOKUP($A433,'MG Universe'!$A$2:$R$9994,17)</f>
        <v>2</v>
      </c>
      <c r="R433" s="22">
        <f>VLOOKUP($A433,'MG Universe'!$A$2:$R$9994,18)</f>
        <v>46.83</v>
      </c>
    </row>
    <row r="434" spans="1:18" x14ac:dyDescent="0.55000000000000004">
      <c r="A434" s="18" t="s">
        <v>815</v>
      </c>
      <c r="B434" s="19" t="str">
        <f>VLOOKUP($A434,'MG Universe'!$A$2:$R$9994,2)</f>
        <v>Teradata Corporation</v>
      </c>
      <c r="C434" s="19" t="str">
        <f>VLOOKUP($A434,'MG Universe'!$A$2:$R$9994,3)</f>
        <v>D</v>
      </c>
      <c r="D434" s="19" t="str">
        <f>VLOOKUP($A434,'MG Universe'!$A$2:$R$9994,4)</f>
        <v>S</v>
      </c>
      <c r="E434" s="19" t="str">
        <f>VLOOKUP($A434,'MG Universe'!$A$2:$R$9994,5)</f>
        <v>O</v>
      </c>
      <c r="F434" s="20" t="str">
        <f>VLOOKUP($A434,'MG Universe'!$A$2:$R$9994,6)</f>
        <v>SO</v>
      </c>
      <c r="G434" s="103">
        <f>VLOOKUP($A434,'MG Universe'!$A$2:$R$9994,7)</f>
        <v>42255</v>
      </c>
      <c r="H434" s="22">
        <f>VLOOKUP($A434,'MG Universe'!$A$2:$R$9994,8)</f>
        <v>3.57</v>
      </c>
      <c r="I434" s="22">
        <f>VLOOKUP($A434,'MG Universe'!$A$2:$R$9994,9)</f>
        <v>25.53</v>
      </c>
      <c r="J434" s="23">
        <f>VLOOKUP($A434,'MG Universe'!$A$2:$R$9994,10)</f>
        <v>7.1513</v>
      </c>
      <c r="K434" s="105">
        <f>VLOOKUP($A434,'MG Universe'!$A$2:$R$9994,11)</f>
        <v>18.64</v>
      </c>
      <c r="L434" s="23" t="str">
        <f>VLOOKUP($A434,'MG Universe'!$A$2:$R$9994,12)</f>
        <v>N/A</v>
      </c>
      <c r="M434" s="106">
        <f>VLOOKUP($A434,'MG Universe'!$A$2:$R$9994,13)</f>
        <v>1.1000000000000001</v>
      </c>
      <c r="N434" s="107">
        <f>VLOOKUP($A434,'MG Universe'!$A$2:$R$9994,14)</f>
        <v>2.08</v>
      </c>
      <c r="O434" s="22">
        <f>VLOOKUP($A434,'MG Universe'!$A$2:$R$9994,15)</f>
        <v>0.2</v>
      </c>
      <c r="P434" s="23">
        <f>VLOOKUP($A434,'MG Universe'!$A$2:$R$9994,16)</f>
        <v>5.0700000000000002E-2</v>
      </c>
      <c r="Q434" s="109">
        <f>VLOOKUP($A434,'MG Universe'!$A$2:$R$9994,17)</f>
        <v>0</v>
      </c>
      <c r="R434" s="22" t="str">
        <f>VLOOKUP($A434,'MG Universe'!$A$2:$R$9994,18)</f>
        <v>N/A</v>
      </c>
    </row>
    <row r="435" spans="1:18" x14ac:dyDescent="0.55000000000000004">
      <c r="A435" s="18" t="s">
        <v>819</v>
      </c>
      <c r="B435" s="19" t="str">
        <f>VLOOKUP($A435,'MG Universe'!$A$2:$R$9994,2)</f>
        <v>TECO Energy, Inc.</v>
      </c>
      <c r="C435" s="19" t="str">
        <f>VLOOKUP($A435,'MG Universe'!$A$2:$R$9994,3)</f>
        <v>D</v>
      </c>
      <c r="D435" s="19" t="str">
        <f>VLOOKUP($A435,'MG Universe'!$A$2:$R$9994,4)</f>
        <v>S</v>
      </c>
      <c r="E435" s="19" t="str">
        <f>VLOOKUP($A435,'MG Universe'!$A$2:$R$9994,5)</f>
        <v>O</v>
      </c>
      <c r="F435" s="20" t="str">
        <f>VLOOKUP($A435,'MG Universe'!$A$2:$R$9994,6)</f>
        <v>SO</v>
      </c>
      <c r="G435" s="103">
        <f>VLOOKUP($A435,'MG Universe'!$A$2:$R$9994,7)</f>
        <v>42093</v>
      </c>
      <c r="H435" s="22">
        <f>VLOOKUP($A435,'MG Universe'!$A$2:$R$9994,8)</f>
        <v>1.6</v>
      </c>
      <c r="I435" s="22">
        <f>VLOOKUP($A435,'MG Universe'!$A$2:$R$9994,9)</f>
        <v>27.47</v>
      </c>
      <c r="J435" s="23">
        <f>VLOOKUP($A435,'MG Universe'!$A$2:$R$9994,10)</f>
        <v>17.168800000000001</v>
      </c>
      <c r="K435" s="105">
        <f>VLOOKUP($A435,'MG Universe'!$A$2:$R$9994,11)</f>
        <v>31.22</v>
      </c>
      <c r="L435" s="23">
        <f>VLOOKUP($A435,'MG Universe'!$A$2:$R$9994,12)</f>
        <v>3.3500000000000002E-2</v>
      </c>
      <c r="M435" s="106">
        <f>VLOOKUP($A435,'MG Universe'!$A$2:$R$9994,13)</f>
        <v>0.4</v>
      </c>
      <c r="N435" s="107">
        <f>VLOOKUP($A435,'MG Universe'!$A$2:$R$9994,14)</f>
        <v>0.69</v>
      </c>
      <c r="O435" s="22">
        <f>VLOOKUP($A435,'MG Universe'!$A$2:$R$9994,15)</f>
        <v>-23.22</v>
      </c>
      <c r="P435" s="23">
        <f>VLOOKUP($A435,'MG Universe'!$A$2:$R$9994,16)</f>
        <v>0.11360000000000001</v>
      </c>
      <c r="Q435" s="109">
        <f>VLOOKUP($A435,'MG Universe'!$A$2:$R$9994,17)</f>
        <v>0</v>
      </c>
      <c r="R435" s="22">
        <f>VLOOKUP($A435,'MG Universe'!$A$2:$R$9994,18)</f>
        <v>0</v>
      </c>
    </row>
    <row r="436" spans="1:18" x14ac:dyDescent="0.55000000000000004">
      <c r="A436" s="18" t="s">
        <v>1168</v>
      </c>
      <c r="B436" s="19" t="str">
        <f>VLOOKUP($A436,'MG Universe'!$A$2:$R$9994,2)</f>
        <v>TECO Energy, Inc.</v>
      </c>
      <c r="C436" s="19" t="str">
        <f>VLOOKUP($A436,'MG Universe'!$A$2:$R$9994,3)</f>
        <v>D</v>
      </c>
      <c r="D436" s="19" t="str">
        <f>VLOOKUP($A436,'MG Universe'!$A$2:$R$9994,4)</f>
        <v>S</v>
      </c>
      <c r="E436" s="19" t="str">
        <f>VLOOKUP($A436,'MG Universe'!$A$2:$R$9994,5)</f>
        <v>O</v>
      </c>
      <c r="F436" s="20" t="str">
        <f>VLOOKUP($A436,'MG Universe'!$A$2:$R$9994,6)</f>
        <v>SO</v>
      </c>
      <c r="G436" s="103">
        <f>VLOOKUP($A436,'MG Universe'!$A$2:$R$9994,7)</f>
        <v>42093</v>
      </c>
      <c r="H436" s="22">
        <f>VLOOKUP($A436,'MG Universe'!$A$2:$R$9994,8)</f>
        <v>1.6</v>
      </c>
      <c r="I436" s="22">
        <f>VLOOKUP($A436,'MG Universe'!$A$2:$R$9994,9)</f>
        <v>27.47</v>
      </c>
      <c r="J436" s="23">
        <f>VLOOKUP($A436,'MG Universe'!$A$2:$R$9994,10)</f>
        <v>17.168800000000001</v>
      </c>
      <c r="K436" s="105">
        <f>VLOOKUP($A436,'MG Universe'!$A$2:$R$9994,11)</f>
        <v>31.22</v>
      </c>
      <c r="L436" s="23">
        <f>VLOOKUP($A436,'MG Universe'!$A$2:$R$9994,12)</f>
        <v>3.3500000000000002E-2</v>
      </c>
      <c r="M436" s="106">
        <f>VLOOKUP($A436,'MG Universe'!$A$2:$R$9994,13)</f>
        <v>0.4</v>
      </c>
      <c r="N436" s="107">
        <f>VLOOKUP($A436,'MG Universe'!$A$2:$R$9994,14)</f>
        <v>0.69</v>
      </c>
      <c r="O436" s="22">
        <f>VLOOKUP($A436,'MG Universe'!$A$2:$R$9994,15)</f>
        <v>-23.22</v>
      </c>
      <c r="P436" s="23">
        <f>VLOOKUP($A436,'MG Universe'!$A$2:$R$9994,16)</f>
        <v>0.11360000000000001</v>
      </c>
      <c r="Q436" s="109">
        <f>VLOOKUP($A436,'MG Universe'!$A$2:$R$9994,17)</f>
        <v>0</v>
      </c>
      <c r="R436" s="22">
        <f>VLOOKUP($A436,'MG Universe'!$A$2:$R$9994,18)</f>
        <v>0</v>
      </c>
    </row>
    <row r="437" spans="1:18" x14ac:dyDescent="0.55000000000000004">
      <c r="A437" s="18" t="s">
        <v>205</v>
      </c>
      <c r="B437" s="19" t="str">
        <f>VLOOKUP($A437,'MG Universe'!$A$2:$R$9994,2)</f>
        <v>TE Connectivity Ltd</v>
      </c>
      <c r="C437" s="19" t="str">
        <f>VLOOKUP($A437,'MG Universe'!$A$2:$R$9994,3)</f>
        <v>B</v>
      </c>
      <c r="D437" s="19" t="str">
        <f>VLOOKUP($A437,'MG Universe'!$A$2:$R$9994,4)</f>
        <v>E</v>
      </c>
      <c r="E437" s="19" t="str">
        <f>VLOOKUP($A437,'MG Universe'!$A$2:$R$9994,5)</f>
        <v>U</v>
      </c>
      <c r="F437" s="20" t="str">
        <f>VLOOKUP($A437,'MG Universe'!$A$2:$R$9994,6)</f>
        <v>EU</v>
      </c>
      <c r="G437" s="103">
        <f>VLOOKUP($A437,'MG Universe'!$A$2:$R$9994,7)</f>
        <v>42348</v>
      </c>
      <c r="H437" s="22">
        <f>VLOOKUP($A437,'MG Universe'!$A$2:$R$9994,8)</f>
        <v>164.91</v>
      </c>
      <c r="I437" s="22">
        <f>VLOOKUP($A437,'MG Universe'!$A$2:$R$9994,9)</f>
        <v>59.26</v>
      </c>
      <c r="J437" s="23">
        <f>VLOOKUP($A437,'MG Universe'!$A$2:$R$9994,10)</f>
        <v>0.35930000000000001</v>
      </c>
      <c r="K437" s="105">
        <f>VLOOKUP($A437,'MG Universe'!$A$2:$R$9994,11)</f>
        <v>13.85</v>
      </c>
      <c r="L437" s="23">
        <f>VLOOKUP($A437,'MG Universe'!$A$2:$R$9994,12)</f>
        <v>2.23E-2</v>
      </c>
      <c r="M437" s="106">
        <f>VLOOKUP($A437,'MG Universe'!$A$2:$R$9994,13)</f>
        <v>1.4</v>
      </c>
      <c r="N437" s="107">
        <f>VLOOKUP($A437,'MG Universe'!$A$2:$R$9994,14)</f>
        <v>2.2000000000000002</v>
      </c>
      <c r="O437" s="22">
        <f>VLOOKUP($A437,'MG Universe'!$A$2:$R$9994,15)</f>
        <v>-7.74</v>
      </c>
      <c r="P437" s="23">
        <f>VLOOKUP($A437,'MG Universe'!$A$2:$R$9994,16)</f>
        <v>2.6700000000000002E-2</v>
      </c>
      <c r="Q437" s="109">
        <f>VLOOKUP($A437,'MG Universe'!$A$2:$R$9994,17)</f>
        <v>6</v>
      </c>
      <c r="R437" s="22">
        <f>VLOOKUP($A437,'MG Universe'!$A$2:$R$9994,18)</f>
        <v>45.91</v>
      </c>
    </row>
    <row r="438" spans="1:18" x14ac:dyDescent="0.55000000000000004">
      <c r="A438" s="18" t="s">
        <v>997</v>
      </c>
      <c r="B438" s="19" t="str">
        <f>VLOOKUP($A438,'MG Universe'!$A$2:$R$9994,2)</f>
        <v>Target Corporation</v>
      </c>
      <c r="C438" s="19" t="str">
        <f>VLOOKUP($A438,'MG Universe'!$A$2:$R$9994,3)</f>
        <v>D+</v>
      </c>
      <c r="D438" s="19" t="str">
        <f>VLOOKUP($A438,'MG Universe'!$A$2:$R$9994,4)</f>
        <v>S</v>
      </c>
      <c r="E438" s="19" t="str">
        <f>VLOOKUP($A438,'MG Universe'!$A$2:$R$9994,5)</f>
        <v>O</v>
      </c>
      <c r="F438" s="20" t="str">
        <f>VLOOKUP($A438,'MG Universe'!$A$2:$R$9994,6)</f>
        <v>SO</v>
      </c>
      <c r="G438" s="103">
        <f>VLOOKUP($A438,'MG Universe'!$A$2:$R$9994,7)</f>
        <v>42174</v>
      </c>
      <c r="H438" s="22">
        <f>VLOOKUP($A438,'MG Universe'!$A$2:$R$9994,8)</f>
        <v>0</v>
      </c>
      <c r="I438" s="22">
        <f>VLOOKUP($A438,'MG Universe'!$A$2:$R$9994,9)</f>
        <v>81.11</v>
      </c>
      <c r="J438" s="23" t="str">
        <f>VLOOKUP($A438,'MG Universe'!$A$2:$R$9994,10)</f>
        <v>N/A</v>
      </c>
      <c r="K438" s="105">
        <f>VLOOKUP($A438,'MG Universe'!$A$2:$R$9994,11)</f>
        <v>35.11</v>
      </c>
      <c r="L438" s="23">
        <f>VLOOKUP($A438,'MG Universe'!$A$2:$R$9994,12)</f>
        <v>2.76E-2</v>
      </c>
      <c r="M438" s="106">
        <f>VLOOKUP($A438,'MG Universe'!$A$2:$R$9994,13)</f>
        <v>0.6</v>
      </c>
      <c r="N438" s="107">
        <f>VLOOKUP($A438,'MG Universe'!$A$2:$R$9994,14)</f>
        <v>1.24</v>
      </c>
      <c r="O438" s="22">
        <f>VLOOKUP($A438,'MG Universe'!$A$2:$R$9994,15)</f>
        <v>-20.23</v>
      </c>
      <c r="P438" s="23">
        <f>VLOOKUP($A438,'MG Universe'!$A$2:$R$9994,16)</f>
        <v>0.1331</v>
      </c>
      <c r="Q438" s="109">
        <f>VLOOKUP($A438,'MG Universe'!$A$2:$R$9994,17)</f>
        <v>0</v>
      </c>
      <c r="R438" s="22">
        <f>VLOOKUP($A438,'MG Universe'!$A$2:$R$9994,18)</f>
        <v>0</v>
      </c>
    </row>
    <row r="439" spans="1:18" x14ac:dyDescent="0.55000000000000004">
      <c r="A439" s="18" t="s">
        <v>1137</v>
      </c>
      <c r="B439" s="19" t="str">
        <f>VLOOKUP($A439,'MG Universe'!$A$2:$R$9994,2)</f>
        <v>Tenet Healthcare Corp</v>
      </c>
      <c r="C439" s="19" t="str">
        <f>VLOOKUP($A439,'MG Universe'!$A$2:$R$9994,3)</f>
        <v>F</v>
      </c>
      <c r="D439" s="19" t="str">
        <f>VLOOKUP($A439,'MG Universe'!$A$2:$R$9994,4)</f>
        <v>S</v>
      </c>
      <c r="E439" s="19" t="str">
        <f>VLOOKUP($A439,'MG Universe'!$A$2:$R$9994,5)</f>
        <v>O</v>
      </c>
      <c r="F439" s="20" t="str">
        <f>VLOOKUP($A439,'MG Universe'!$A$2:$R$9994,6)</f>
        <v>SO</v>
      </c>
      <c r="G439" s="103">
        <f>VLOOKUP($A439,'MG Universe'!$A$2:$R$9994,7)</f>
        <v>42142</v>
      </c>
      <c r="H439" s="22">
        <f>VLOOKUP($A439,'MG Universe'!$A$2:$R$9994,8)</f>
        <v>0</v>
      </c>
      <c r="I439" s="22">
        <f>VLOOKUP($A439,'MG Universe'!$A$2:$R$9994,9)</f>
        <v>26.22</v>
      </c>
      <c r="J439" s="23" t="str">
        <f>VLOOKUP($A439,'MG Universe'!$A$2:$R$9994,10)</f>
        <v>N/A</v>
      </c>
      <c r="K439" s="105">
        <f>VLOOKUP($A439,'MG Universe'!$A$2:$R$9994,11)</f>
        <v>46</v>
      </c>
      <c r="L439" s="23" t="str">
        <f>VLOOKUP($A439,'MG Universe'!$A$2:$R$9994,12)</f>
        <v>N/A</v>
      </c>
      <c r="M439" s="106">
        <f>VLOOKUP($A439,'MG Universe'!$A$2:$R$9994,13)</f>
        <v>1.4</v>
      </c>
      <c r="N439" s="107">
        <f>VLOOKUP($A439,'MG Universe'!$A$2:$R$9994,14)</f>
        <v>1.37</v>
      </c>
      <c r="O439" s="22">
        <f>VLOOKUP($A439,'MG Universe'!$A$2:$R$9994,15)</f>
        <v>-123.51</v>
      </c>
      <c r="P439" s="23">
        <f>VLOOKUP($A439,'MG Universe'!$A$2:$R$9994,16)</f>
        <v>0.1875</v>
      </c>
      <c r="Q439" s="109">
        <f>VLOOKUP($A439,'MG Universe'!$A$2:$R$9994,17)</f>
        <v>0</v>
      </c>
      <c r="R439" s="22">
        <f>VLOOKUP($A439,'MG Universe'!$A$2:$R$9994,18)</f>
        <v>0</v>
      </c>
    </row>
    <row r="440" spans="1:18" x14ac:dyDescent="0.55000000000000004">
      <c r="A440" s="18" t="s">
        <v>698</v>
      </c>
      <c r="B440" s="19" t="str">
        <f>VLOOKUP($A440,'MG Universe'!$A$2:$R$9994,2)</f>
        <v>Tiffany &amp; Co.</v>
      </c>
      <c r="C440" s="19" t="str">
        <f>VLOOKUP($A440,'MG Universe'!$A$2:$R$9994,3)</f>
        <v>C+</v>
      </c>
      <c r="D440" s="19" t="str">
        <f>VLOOKUP($A440,'MG Universe'!$A$2:$R$9994,4)</f>
        <v>E</v>
      </c>
      <c r="E440" s="19" t="str">
        <f>VLOOKUP($A440,'MG Universe'!$A$2:$R$9994,5)</f>
        <v>O</v>
      </c>
      <c r="F440" s="20" t="str">
        <f>VLOOKUP($A440,'MG Universe'!$A$2:$R$9994,6)</f>
        <v>EO</v>
      </c>
      <c r="G440" s="103">
        <f>VLOOKUP($A440,'MG Universe'!$A$2:$R$9994,7)</f>
        <v>42401</v>
      </c>
      <c r="H440" s="22">
        <f>VLOOKUP($A440,'MG Universe'!$A$2:$R$9994,8)</f>
        <v>42.49</v>
      </c>
      <c r="I440" s="22">
        <f>VLOOKUP($A440,'MG Universe'!$A$2:$R$9994,9)</f>
        <v>67.709999999999994</v>
      </c>
      <c r="J440" s="23">
        <f>VLOOKUP($A440,'MG Universe'!$A$2:$R$9994,10)</f>
        <v>1.5935999999999999</v>
      </c>
      <c r="K440" s="105">
        <f>VLOOKUP($A440,'MG Universe'!$A$2:$R$9994,11)</f>
        <v>21.43</v>
      </c>
      <c r="L440" s="23">
        <f>VLOOKUP($A440,'MG Universe'!$A$2:$R$9994,12)</f>
        <v>2.3599999999999999E-2</v>
      </c>
      <c r="M440" s="106">
        <f>VLOOKUP($A440,'MG Universe'!$A$2:$R$9994,13)</f>
        <v>2</v>
      </c>
      <c r="N440" s="107">
        <f>VLOOKUP($A440,'MG Universe'!$A$2:$R$9994,14)</f>
        <v>5.0599999999999996</v>
      </c>
      <c r="O440" s="22">
        <f>VLOOKUP($A440,'MG Universe'!$A$2:$R$9994,15)</f>
        <v>9.86</v>
      </c>
      <c r="P440" s="23">
        <f>VLOOKUP($A440,'MG Universe'!$A$2:$R$9994,16)</f>
        <v>6.4600000000000005E-2</v>
      </c>
      <c r="Q440" s="109">
        <f>VLOOKUP($A440,'MG Universe'!$A$2:$R$9994,17)</f>
        <v>13</v>
      </c>
      <c r="R440" s="22">
        <f>VLOOKUP($A440,'MG Universe'!$A$2:$R$9994,18)</f>
        <v>42.81</v>
      </c>
    </row>
    <row r="441" spans="1:18" x14ac:dyDescent="0.55000000000000004">
      <c r="A441" s="18" t="s">
        <v>279</v>
      </c>
      <c r="B441" s="19" t="str">
        <f>VLOOKUP($A441,'MG Universe'!$A$2:$R$9994,2)</f>
        <v>TJX Companies Inc</v>
      </c>
      <c r="C441" s="19" t="str">
        <f>VLOOKUP($A441,'MG Universe'!$A$2:$R$9994,3)</f>
        <v>B-</v>
      </c>
      <c r="D441" s="19" t="str">
        <f>VLOOKUP($A441,'MG Universe'!$A$2:$R$9994,4)</f>
        <v>E</v>
      </c>
      <c r="E441" s="19" t="str">
        <f>VLOOKUP($A441,'MG Universe'!$A$2:$R$9994,5)</f>
        <v>U</v>
      </c>
      <c r="F441" s="20" t="str">
        <f>VLOOKUP($A441,'MG Universe'!$A$2:$R$9994,6)</f>
        <v>EU</v>
      </c>
      <c r="G441" s="103">
        <f>VLOOKUP($A441,'MG Universe'!$A$2:$R$9994,7)</f>
        <v>42403</v>
      </c>
      <c r="H441" s="22">
        <f>VLOOKUP($A441,'MG Universe'!$A$2:$R$9994,8)</f>
        <v>107.46</v>
      </c>
      <c r="I441" s="22">
        <f>VLOOKUP($A441,'MG Universe'!$A$2:$R$9994,9)</f>
        <v>75.44</v>
      </c>
      <c r="J441" s="23">
        <f>VLOOKUP($A441,'MG Universe'!$A$2:$R$9994,10)</f>
        <v>0.70199999999999996</v>
      </c>
      <c r="K441" s="105">
        <f>VLOOKUP($A441,'MG Universe'!$A$2:$R$9994,11)</f>
        <v>25.32</v>
      </c>
      <c r="L441" s="23">
        <f>VLOOKUP($A441,'MG Universe'!$A$2:$R$9994,12)</f>
        <v>1.11E-2</v>
      </c>
      <c r="M441" s="106">
        <f>VLOOKUP($A441,'MG Universe'!$A$2:$R$9994,13)</f>
        <v>0.6</v>
      </c>
      <c r="N441" s="107">
        <f>VLOOKUP($A441,'MG Universe'!$A$2:$R$9994,14)</f>
        <v>1.55</v>
      </c>
      <c r="O441" s="22">
        <f>VLOOKUP($A441,'MG Universe'!$A$2:$R$9994,15)</f>
        <v>-0.43</v>
      </c>
      <c r="P441" s="23">
        <f>VLOOKUP($A441,'MG Universe'!$A$2:$R$9994,16)</f>
        <v>8.4099999999999994E-2</v>
      </c>
      <c r="Q441" s="109">
        <f>VLOOKUP($A441,'MG Universe'!$A$2:$R$9994,17)</f>
        <v>3</v>
      </c>
      <c r="R441" s="22">
        <f>VLOOKUP($A441,'MG Universe'!$A$2:$R$9994,18)</f>
        <v>21.84</v>
      </c>
    </row>
    <row r="442" spans="1:18" x14ac:dyDescent="0.55000000000000004">
      <c r="A442" s="18" t="s">
        <v>128</v>
      </c>
      <c r="B442" s="19" t="str">
        <f>VLOOKUP($A442,'MG Universe'!$A$2:$R$9994,2)</f>
        <v>Torchmark Corporation</v>
      </c>
      <c r="C442" s="19" t="str">
        <f>VLOOKUP($A442,'MG Universe'!$A$2:$R$9994,3)</f>
        <v>A-</v>
      </c>
      <c r="D442" s="19" t="str">
        <f>VLOOKUP($A442,'MG Universe'!$A$2:$R$9994,4)</f>
        <v>D</v>
      </c>
      <c r="E442" s="19" t="str">
        <f>VLOOKUP($A442,'MG Universe'!$A$2:$R$9994,5)</f>
        <v>U</v>
      </c>
      <c r="F442" s="20" t="str">
        <f>VLOOKUP($A442,'MG Universe'!$A$2:$R$9994,6)</f>
        <v>DU</v>
      </c>
      <c r="G442" s="103">
        <f>VLOOKUP($A442,'MG Universe'!$A$2:$R$9994,7)</f>
        <v>42404</v>
      </c>
      <c r="H442" s="22">
        <f>VLOOKUP($A442,'MG Universe'!$A$2:$R$9994,8)</f>
        <v>90.67</v>
      </c>
      <c r="I442" s="22">
        <f>VLOOKUP($A442,'MG Universe'!$A$2:$R$9994,9)</f>
        <v>53.44</v>
      </c>
      <c r="J442" s="23">
        <f>VLOOKUP($A442,'MG Universe'!$A$2:$R$9994,10)</f>
        <v>0.58940000000000003</v>
      </c>
      <c r="K442" s="105">
        <f>VLOOKUP($A442,'MG Universe'!$A$2:$R$9994,11)</f>
        <v>13.67</v>
      </c>
      <c r="L442" s="23">
        <f>VLOOKUP($A442,'MG Universe'!$A$2:$R$9994,12)</f>
        <v>1.01E-2</v>
      </c>
      <c r="M442" s="106">
        <f>VLOOKUP($A442,'MG Universe'!$A$2:$R$9994,13)</f>
        <v>1.1000000000000001</v>
      </c>
      <c r="N442" s="107" t="str">
        <f>VLOOKUP($A442,'MG Universe'!$A$2:$R$9994,14)</f>
        <v>N/A</v>
      </c>
      <c r="O442" s="22" t="str">
        <f>VLOOKUP($A442,'MG Universe'!$A$2:$R$9994,15)</f>
        <v>N/A</v>
      </c>
      <c r="P442" s="23">
        <f>VLOOKUP($A442,'MG Universe'!$A$2:$R$9994,16)</f>
        <v>2.58E-2</v>
      </c>
      <c r="Q442" s="109">
        <f>VLOOKUP($A442,'MG Universe'!$A$2:$R$9994,17)</f>
        <v>10</v>
      </c>
      <c r="R442" s="22">
        <f>VLOOKUP($A442,'MG Universe'!$A$2:$R$9994,18)</f>
        <v>56.79</v>
      </c>
    </row>
    <row r="443" spans="1:18" x14ac:dyDescent="0.55000000000000004">
      <c r="A443" s="18" t="s">
        <v>999</v>
      </c>
      <c r="B443" s="19" t="str">
        <f>VLOOKUP($A443,'MG Universe'!$A$2:$R$9994,2)</f>
        <v>Thermo Fisher Scientific Inc.</v>
      </c>
      <c r="C443" s="19" t="str">
        <f>VLOOKUP($A443,'MG Universe'!$A$2:$R$9994,3)</f>
        <v>D+</v>
      </c>
      <c r="D443" s="19" t="str">
        <f>VLOOKUP($A443,'MG Universe'!$A$2:$R$9994,4)</f>
        <v>S</v>
      </c>
      <c r="E443" s="19" t="str">
        <f>VLOOKUP($A443,'MG Universe'!$A$2:$R$9994,5)</f>
        <v>F</v>
      </c>
      <c r="F443" s="20" t="str">
        <f>VLOOKUP($A443,'MG Universe'!$A$2:$R$9994,6)</f>
        <v>SF</v>
      </c>
      <c r="G443" s="103">
        <f>VLOOKUP($A443,'MG Universe'!$A$2:$R$9994,7)</f>
        <v>42222</v>
      </c>
      <c r="H443" s="22">
        <f>VLOOKUP($A443,'MG Universe'!$A$2:$R$9994,8)</f>
        <v>181.71</v>
      </c>
      <c r="I443" s="22">
        <f>VLOOKUP($A443,'MG Universe'!$A$2:$R$9994,9)</f>
        <v>138.12</v>
      </c>
      <c r="J443" s="23">
        <f>VLOOKUP($A443,'MG Universe'!$A$2:$R$9994,10)</f>
        <v>0.7601</v>
      </c>
      <c r="K443" s="105">
        <f>VLOOKUP($A443,'MG Universe'!$A$2:$R$9994,11)</f>
        <v>27.3</v>
      </c>
      <c r="L443" s="23">
        <f>VLOOKUP($A443,'MG Universe'!$A$2:$R$9994,12)</f>
        <v>4.3E-3</v>
      </c>
      <c r="M443" s="106">
        <f>VLOOKUP($A443,'MG Universe'!$A$2:$R$9994,13)</f>
        <v>1</v>
      </c>
      <c r="N443" s="107">
        <f>VLOOKUP($A443,'MG Universe'!$A$2:$R$9994,14)</f>
        <v>1.02</v>
      </c>
      <c r="O443" s="22">
        <f>VLOOKUP($A443,'MG Universe'!$A$2:$R$9994,15)</f>
        <v>-37.01</v>
      </c>
      <c r="P443" s="23">
        <f>VLOOKUP($A443,'MG Universe'!$A$2:$R$9994,16)</f>
        <v>9.4E-2</v>
      </c>
      <c r="Q443" s="109">
        <f>VLOOKUP($A443,'MG Universe'!$A$2:$R$9994,17)</f>
        <v>0</v>
      </c>
      <c r="R443" s="22">
        <f>VLOOKUP($A443,'MG Universe'!$A$2:$R$9994,18)</f>
        <v>0</v>
      </c>
    </row>
    <row r="444" spans="1:18" x14ac:dyDescent="0.55000000000000004">
      <c r="A444" s="18" t="s">
        <v>608</v>
      </c>
      <c r="B444" s="19" t="str">
        <f>VLOOKUP($A444,'MG Universe'!$A$2:$R$9994,2)</f>
        <v>Tripadvisor Inc</v>
      </c>
      <c r="C444" s="19" t="str">
        <f>VLOOKUP($A444,'MG Universe'!$A$2:$R$9994,3)</f>
        <v>C-</v>
      </c>
      <c r="D444" s="19" t="str">
        <f>VLOOKUP($A444,'MG Universe'!$A$2:$R$9994,4)</f>
        <v>E</v>
      </c>
      <c r="E444" s="19" t="str">
        <f>VLOOKUP($A444,'MG Universe'!$A$2:$R$9994,5)</f>
        <v>O</v>
      </c>
      <c r="F444" s="20" t="str">
        <f>VLOOKUP($A444,'MG Universe'!$A$2:$R$9994,6)</f>
        <v>EO</v>
      </c>
      <c r="G444" s="103">
        <f>VLOOKUP($A444,'MG Universe'!$A$2:$R$9994,7)</f>
        <v>42332</v>
      </c>
      <c r="H444" s="22">
        <f>VLOOKUP($A444,'MG Universe'!$A$2:$R$9994,8)</f>
        <v>57.47</v>
      </c>
      <c r="I444" s="22">
        <f>VLOOKUP($A444,'MG Universe'!$A$2:$R$9994,9)</f>
        <v>65.319999999999993</v>
      </c>
      <c r="J444" s="23">
        <f>VLOOKUP($A444,'MG Universe'!$A$2:$R$9994,10)</f>
        <v>1.1366000000000001</v>
      </c>
      <c r="K444" s="105">
        <f>VLOOKUP($A444,'MG Universe'!$A$2:$R$9994,11)</f>
        <v>43.84</v>
      </c>
      <c r="L444" s="23" t="str">
        <f>VLOOKUP($A444,'MG Universe'!$A$2:$R$9994,12)</f>
        <v>N/A</v>
      </c>
      <c r="M444" s="106">
        <f>VLOOKUP($A444,'MG Universe'!$A$2:$R$9994,13)</f>
        <v>2.4</v>
      </c>
      <c r="N444" s="107">
        <f>VLOOKUP($A444,'MG Universe'!$A$2:$R$9994,14)</f>
        <v>2.65</v>
      </c>
      <c r="O444" s="22">
        <f>VLOOKUP($A444,'MG Universe'!$A$2:$R$9994,15)</f>
        <v>0.49</v>
      </c>
      <c r="P444" s="23">
        <f>VLOOKUP($A444,'MG Universe'!$A$2:$R$9994,16)</f>
        <v>0.1767</v>
      </c>
      <c r="Q444" s="109">
        <f>VLOOKUP($A444,'MG Universe'!$A$2:$R$9994,17)</f>
        <v>0</v>
      </c>
      <c r="R444" s="22">
        <f>VLOOKUP($A444,'MG Universe'!$A$2:$R$9994,18)</f>
        <v>18.079999999999998</v>
      </c>
    </row>
    <row r="445" spans="1:18" x14ac:dyDescent="0.55000000000000004">
      <c r="A445" s="18" t="s">
        <v>63</v>
      </c>
      <c r="B445" s="19" t="str">
        <f>VLOOKUP($A445,'MG Universe'!$A$2:$R$9994,2)</f>
        <v>T. Rowe Price Group Inc</v>
      </c>
      <c r="C445" s="19" t="str">
        <f>VLOOKUP($A445,'MG Universe'!$A$2:$R$9994,3)</f>
        <v>A</v>
      </c>
      <c r="D445" s="19" t="str">
        <f>VLOOKUP($A445,'MG Universe'!$A$2:$R$9994,4)</f>
        <v>D</v>
      </c>
      <c r="E445" s="19" t="str">
        <f>VLOOKUP($A445,'MG Universe'!$A$2:$R$9994,5)</f>
        <v>U</v>
      </c>
      <c r="F445" s="20" t="str">
        <f>VLOOKUP($A445,'MG Universe'!$A$2:$R$9994,6)</f>
        <v>DU</v>
      </c>
      <c r="G445" s="103">
        <f>VLOOKUP($A445,'MG Universe'!$A$2:$R$9994,7)</f>
        <v>42417</v>
      </c>
      <c r="H445" s="22">
        <f>VLOOKUP($A445,'MG Universe'!$A$2:$R$9994,8)</f>
        <v>105.86</v>
      </c>
      <c r="I445" s="22">
        <f>VLOOKUP($A445,'MG Universe'!$A$2:$R$9994,9)</f>
        <v>71.67</v>
      </c>
      <c r="J445" s="23">
        <f>VLOOKUP($A445,'MG Universe'!$A$2:$R$9994,10)</f>
        <v>0.67700000000000005</v>
      </c>
      <c r="K445" s="105">
        <f>VLOOKUP($A445,'MG Universe'!$A$2:$R$9994,11)</f>
        <v>16.86</v>
      </c>
      <c r="L445" s="23">
        <f>VLOOKUP($A445,'MG Universe'!$A$2:$R$9994,12)</f>
        <v>3.0099999999999998E-2</v>
      </c>
      <c r="M445" s="106">
        <f>VLOOKUP($A445,'MG Universe'!$A$2:$R$9994,13)</f>
        <v>1.2</v>
      </c>
      <c r="N445" s="107">
        <f>VLOOKUP($A445,'MG Universe'!$A$2:$R$9994,14)</f>
        <v>4.6900000000000004</v>
      </c>
      <c r="O445" s="22">
        <f>VLOOKUP($A445,'MG Universe'!$A$2:$R$9994,15)</f>
        <v>4.88</v>
      </c>
      <c r="P445" s="23">
        <f>VLOOKUP($A445,'MG Universe'!$A$2:$R$9994,16)</f>
        <v>4.1799999999999997E-2</v>
      </c>
      <c r="Q445" s="109">
        <f>VLOOKUP($A445,'MG Universe'!$A$2:$R$9994,17)</f>
        <v>20</v>
      </c>
      <c r="R445" s="22">
        <f>VLOOKUP($A445,'MG Universe'!$A$2:$R$9994,18)</f>
        <v>41.77</v>
      </c>
    </row>
    <row r="446" spans="1:18" x14ac:dyDescent="0.55000000000000004">
      <c r="A446" s="18" t="s">
        <v>65</v>
      </c>
      <c r="B446" s="19" t="str">
        <f>VLOOKUP($A446,'MG Universe'!$A$2:$R$9994,2)</f>
        <v>Travelers Companies Inc</v>
      </c>
      <c r="C446" s="19" t="str">
        <f>VLOOKUP($A446,'MG Universe'!$A$2:$R$9994,3)</f>
        <v>A</v>
      </c>
      <c r="D446" s="19" t="str">
        <f>VLOOKUP($A446,'MG Universe'!$A$2:$R$9994,4)</f>
        <v>D</v>
      </c>
      <c r="E446" s="19" t="str">
        <f>VLOOKUP($A446,'MG Universe'!$A$2:$R$9994,5)</f>
        <v>U</v>
      </c>
      <c r="F446" s="20" t="str">
        <f>VLOOKUP($A446,'MG Universe'!$A$2:$R$9994,6)</f>
        <v>DU</v>
      </c>
      <c r="G446" s="103">
        <f>VLOOKUP($A446,'MG Universe'!$A$2:$R$9994,7)</f>
        <v>42324</v>
      </c>
      <c r="H446" s="22">
        <f>VLOOKUP($A446,'MG Universe'!$A$2:$R$9994,8)</f>
        <v>296.43</v>
      </c>
      <c r="I446" s="22">
        <f>VLOOKUP($A446,'MG Universe'!$A$2:$R$9994,9)</f>
        <v>110.2</v>
      </c>
      <c r="J446" s="23">
        <f>VLOOKUP($A446,'MG Universe'!$A$2:$R$9994,10)</f>
        <v>0.37180000000000002</v>
      </c>
      <c r="K446" s="105">
        <f>VLOOKUP($A446,'MG Universe'!$A$2:$R$9994,11)</f>
        <v>11.81</v>
      </c>
      <c r="L446" s="23">
        <f>VLOOKUP($A446,'MG Universe'!$A$2:$R$9994,12)</f>
        <v>2.2100000000000002E-2</v>
      </c>
      <c r="M446" s="106">
        <f>VLOOKUP($A446,'MG Universe'!$A$2:$R$9994,13)</f>
        <v>1.2</v>
      </c>
      <c r="N446" s="107" t="str">
        <f>VLOOKUP($A446,'MG Universe'!$A$2:$R$9994,14)</f>
        <v>N/A</v>
      </c>
      <c r="O446" s="22" t="str">
        <f>VLOOKUP($A446,'MG Universe'!$A$2:$R$9994,15)</f>
        <v>N/A</v>
      </c>
      <c r="P446" s="23">
        <f>VLOOKUP($A446,'MG Universe'!$A$2:$R$9994,16)</f>
        <v>1.66E-2</v>
      </c>
      <c r="Q446" s="109">
        <f>VLOOKUP($A446,'MG Universe'!$A$2:$R$9994,17)</f>
        <v>10</v>
      </c>
      <c r="R446" s="22">
        <f>VLOOKUP($A446,'MG Universe'!$A$2:$R$9994,18)</f>
        <v>135.83000000000001</v>
      </c>
    </row>
    <row r="447" spans="1:18" x14ac:dyDescent="0.55000000000000004">
      <c r="A447" s="18" t="s">
        <v>700</v>
      </c>
      <c r="B447" s="19" t="str">
        <f>VLOOKUP($A447,'MG Universe'!$A$2:$R$9994,2)</f>
        <v>Tractor Supply Company</v>
      </c>
      <c r="C447" s="19" t="str">
        <f>VLOOKUP($A447,'MG Universe'!$A$2:$R$9994,3)</f>
        <v>C+</v>
      </c>
      <c r="D447" s="19" t="str">
        <f>VLOOKUP($A447,'MG Universe'!$A$2:$R$9994,4)</f>
        <v>E</v>
      </c>
      <c r="E447" s="19" t="str">
        <f>VLOOKUP($A447,'MG Universe'!$A$2:$R$9994,5)</f>
        <v>F</v>
      </c>
      <c r="F447" s="20" t="str">
        <f>VLOOKUP($A447,'MG Universe'!$A$2:$R$9994,6)</f>
        <v>EF</v>
      </c>
      <c r="G447" s="103">
        <f>VLOOKUP($A447,'MG Universe'!$A$2:$R$9994,7)</f>
        <v>42304</v>
      </c>
      <c r="H447" s="22">
        <f>VLOOKUP($A447,'MG Universe'!$A$2:$R$9994,8)</f>
        <v>89.85</v>
      </c>
      <c r="I447" s="22">
        <f>VLOOKUP($A447,'MG Universe'!$A$2:$R$9994,9)</f>
        <v>87.19</v>
      </c>
      <c r="J447" s="23">
        <f>VLOOKUP($A447,'MG Universe'!$A$2:$R$9994,10)</f>
        <v>0.97040000000000004</v>
      </c>
      <c r="K447" s="105">
        <f>VLOOKUP($A447,'MG Universe'!$A$2:$R$9994,11)</f>
        <v>37.42</v>
      </c>
      <c r="L447" s="23">
        <f>VLOOKUP($A447,'MG Universe'!$A$2:$R$9994,12)</f>
        <v>9.1999999999999998E-3</v>
      </c>
      <c r="M447" s="106">
        <f>VLOOKUP($A447,'MG Universe'!$A$2:$R$9994,13)</f>
        <v>1</v>
      </c>
      <c r="N447" s="107">
        <f>VLOOKUP($A447,'MG Universe'!$A$2:$R$9994,14)</f>
        <v>2.0499999999999998</v>
      </c>
      <c r="O447" s="22">
        <f>VLOOKUP($A447,'MG Universe'!$A$2:$R$9994,15)</f>
        <v>3.46</v>
      </c>
      <c r="P447" s="23">
        <f>VLOOKUP($A447,'MG Universe'!$A$2:$R$9994,16)</f>
        <v>0.14460000000000001</v>
      </c>
      <c r="Q447" s="109">
        <f>VLOOKUP($A447,'MG Universe'!$A$2:$R$9994,17)</f>
        <v>6</v>
      </c>
      <c r="R447" s="22">
        <f>VLOOKUP($A447,'MG Universe'!$A$2:$R$9994,18)</f>
        <v>23.16</v>
      </c>
    </row>
    <row r="448" spans="1:18" x14ac:dyDescent="0.55000000000000004">
      <c r="A448" s="18" t="s">
        <v>610</v>
      </c>
      <c r="B448" s="19" t="str">
        <f>VLOOKUP($A448,'MG Universe'!$A$2:$R$9994,2)</f>
        <v>Tyson Foods, Inc.</v>
      </c>
      <c r="C448" s="19" t="str">
        <f>VLOOKUP($A448,'MG Universe'!$A$2:$R$9994,3)</f>
        <v>C-</v>
      </c>
      <c r="D448" s="19" t="str">
        <f>VLOOKUP($A448,'MG Universe'!$A$2:$R$9994,4)</f>
        <v>S</v>
      </c>
      <c r="E448" s="19" t="str">
        <f>VLOOKUP($A448,'MG Universe'!$A$2:$R$9994,5)</f>
        <v>U</v>
      </c>
      <c r="F448" s="20" t="str">
        <f>VLOOKUP($A448,'MG Universe'!$A$2:$R$9994,6)</f>
        <v>SU</v>
      </c>
      <c r="G448" s="103">
        <f>VLOOKUP($A448,'MG Universe'!$A$2:$R$9994,7)</f>
        <v>42185</v>
      </c>
      <c r="H448" s="22">
        <f>VLOOKUP($A448,'MG Universe'!$A$2:$R$9994,8)</f>
        <v>96.04</v>
      </c>
      <c r="I448" s="22">
        <f>VLOOKUP($A448,'MG Universe'!$A$2:$R$9994,9)</f>
        <v>65.78</v>
      </c>
      <c r="J448" s="23">
        <f>VLOOKUP($A448,'MG Universe'!$A$2:$R$9994,10)</f>
        <v>0.68489999999999995</v>
      </c>
      <c r="K448" s="105">
        <f>VLOOKUP($A448,'MG Universe'!$A$2:$R$9994,11)</f>
        <v>26.42</v>
      </c>
      <c r="L448" s="23">
        <f>VLOOKUP($A448,'MG Universe'!$A$2:$R$9994,12)</f>
        <v>9.1000000000000004E-3</v>
      </c>
      <c r="M448" s="106">
        <f>VLOOKUP($A448,'MG Universe'!$A$2:$R$9994,13)</f>
        <v>0.3</v>
      </c>
      <c r="N448" s="107">
        <f>VLOOKUP($A448,'MG Universe'!$A$2:$R$9994,14)</f>
        <v>1.4</v>
      </c>
      <c r="O448" s="22">
        <f>VLOOKUP($A448,'MG Universe'!$A$2:$R$9994,15)</f>
        <v>-20.49</v>
      </c>
      <c r="P448" s="23">
        <f>VLOOKUP($A448,'MG Universe'!$A$2:$R$9994,16)</f>
        <v>8.9599999999999999E-2</v>
      </c>
      <c r="Q448" s="109">
        <f>VLOOKUP($A448,'MG Universe'!$A$2:$R$9994,17)</f>
        <v>0</v>
      </c>
      <c r="R448" s="22">
        <f>VLOOKUP($A448,'MG Universe'!$A$2:$R$9994,18)</f>
        <v>0</v>
      </c>
    </row>
    <row r="449" spans="1:18" x14ac:dyDescent="0.55000000000000004">
      <c r="A449" s="18" t="s">
        <v>281</v>
      </c>
      <c r="B449" s="19" t="str">
        <f>VLOOKUP($A449,'MG Universe'!$A$2:$R$9994,2)</f>
        <v>Tesoro Corporation</v>
      </c>
      <c r="C449" s="19" t="str">
        <f>VLOOKUP($A449,'MG Universe'!$A$2:$R$9994,3)</f>
        <v>B-</v>
      </c>
      <c r="D449" s="19" t="str">
        <f>VLOOKUP($A449,'MG Universe'!$A$2:$R$9994,4)</f>
        <v>S</v>
      </c>
      <c r="E449" s="19" t="str">
        <f>VLOOKUP($A449,'MG Universe'!$A$2:$R$9994,5)</f>
        <v>U</v>
      </c>
      <c r="F449" s="20" t="str">
        <f>VLOOKUP($A449,'MG Universe'!$A$2:$R$9994,6)</f>
        <v>SU</v>
      </c>
      <c r="G449" s="103">
        <f>VLOOKUP($A449,'MG Universe'!$A$2:$R$9994,7)</f>
        <v>42284</v>
      </c>
      <c r="H449" s="22">
        <f>VLOOKUP($A449,'MG Universe'!$A$2:$R$9994,8)</f>
        <v>248.25</v>
      </c>
      <c r="I449" s="22">
        <f>VLOOKUP($A449,'MG Universe'!$A$2:$R$9994,9)</f>
        <v>82.2</v>
      </c>
      <c r="J449" s="23">
        <f>VLOOKUP($A449,'MG Universe'!$A$2:$R$9994,10)</f>
        <v>0.33110000000000001</v>
      </c>
      <c r="K449" s="105">
        <f>VLOOKUP($A449,'MG Universe'!$A$2:$R$9994,11)</f>
        <v>12.74</v>
      </c>
      <c r="L449" s="23">
        <f>VLOOKUP($A449,'MG Universe'!$A$2:$R$9994,12)</f>
        <v>2.4299999999999999E-2</v>
      </c>
      <c r="M449" s="106">
        <f>VLOOKUP($A449,'MG Universe'!$A$2:$R$9994,13)</f>
        <v>2.1</v>
      </c>
      <c r="N449" s="107">
        <f>VLOOKUP($A449,'MG Universe'!$A$2:$R$9994,14)</f>
        <v>1.44</v>
      </c>
      <c r="O449" s="22">
        <f>VLOOKUP($A449,'MG Universe'!$A$2:$R$9994,15)</f>
        <v>-55.08</v>
      </c>
      <c r="P449" s="23">
        <f>VLOOKUP($A449,'MG Universe'!$A$2:$R$9994,16)</f>
        <v>2.12E-2</v>
      </c>
      <c r="Q449" s="109">
        <f>VLOOKUP($A449,'MG Universe'!$A$2:$R$9994,17)</f>
        <v>4</v>
      </c>
      <c r="R449" s="22">
        <f>VLOOKUP($A449,'MG Universe'!$A$2:$R$9994,18)</f>
        <v>91.8</v>
      </c>
    </row>
    <row r="450" spans="1:18" x14ac:dyDescent="0.55000000000000004">
      <c r="A450" s="18" t="s">
        <v>453</v>
      </c>
      <c r="B450" s="19" t="str">
        <f>VLOOKUP($A450,'MG Universe'!$A$2:$R$9994,2)</f>
        <v>Total System Services, Inc.</v>
      </c>
      <c r="C450" s="19" t="str">
        <f>VLOOKUP($A450,'MG Universe'!$A$2:$R$9994,3)</f>
        <v>C</v>
      </c>
      <c r="D450" s="19" t="str">
        <f>VLOOKUP($A450,'MG Universe'!$A$2:$R$9994,4)</f>
        <v>E</v>
      </c>
      <c r="E450" s="19" t="str">
        <f>VLOOKUP($A450,'MG Universe'!$A$2:$R$9994,5)</f>
        <v>O</v>
      </c>
      <c r="F450" s="20" t="str">
        <f>VLOOKUP($A450,'MG Universe'!$A$2:$R$9994,6)</f>
        <v>EO</v>
      </c>
      <c r="G450" s="103">
        <f>VLOOKUP($A450,'MG Universe'!$A$2:$R$9994,7)</f>
        <v>42325</v>
      </c>
      <c r="H450" s="22">
        <f>VLOOKUP($A450,'MG Universe'!$A$2:$R$9994,8)</f>
        <v>38.700000000000003</v>
      </c>
      <c r="I450" s="22">
        <f>VLOOKUP($A450,'MG Universe'!$A$2:$R$9994,9)</f>
        <v>44.65</v>
      </c>
      <c r="J450" s="23">
        <f>VLOOKUP($A450,'MG Universe'!$A$2:$R$9994,10)</f>
        <v>1.1536999999999999</v>
      </c>
      <c r="K450" s="105">
        <f>VLOOKUP($A450,'MG Universe'!$A$2:$R$9994,11)</f>
        <v>26.9</v>
      </c>
      <c r="L450" s="23">
        <f>VLOOKUP($A450,'MG Universe'!$A$2:$R$9994,12)</f>
        <v>8.9999999999999993E-3</v>
      </c>
      <c r="M450" s="106">
        <f>VLOOKUP($A450,'MG Universe'!$A$2:$R$9994,13)</f>
        <v>1.1000000000000001</v>
      </c>
      <c r="N450" s="107">
        <f>VLOOKUP($A450,'MG Universe'!$A$2:$R$9994,14)</f>
        <v>2.75</v>
      </c>
      <c r="O450" s="22">
        <f>VLOOKUP($A450,'MG Universe'!$A$2:$R$9994,15)</f>
        <v>-6.13</v>
      </c>
      <c r="P450" s="23">
        <f>VLOOKUP($A450,'MG Universe'!$A$2:$R$9994,16)</f>
        <v>9.1999999999999998E-2</v>
      </c>
      <c r="Q450" s="109">
        <f>VLOOKUP($A450,'MG Universe'!$A$2:$R$9994,17)</f>
        <v>0</v>
      </c>
      <c r="R450" s="22">
        <f>VLOOKUP($A450,'MG Universe'!$A$2:$R$9994,18)</f>
        <v>21.9</v>
      </c>
    </row>
    <row r="451" spans="1:18" x14ac:dyDescent="0.55000000000000004">
      <c r="A451" s="18" t="s">
        <v>1001</v>
      </c>
      <c r="B451" s="19" t="str">
        <f>VLOOKUP($A451,'MG Universe'!$A$2:$R$9994,2)</f>
        <v>Time Warner Cable Inc</v>
      </c>
      <c r="C451" s="19" t="str">
        <f>VLOOKUP($A451,'MG Universe'!$A$2:$R$9994,3)</f>
        <v>D+</v>
      </c>
      <c r="D451" s="19" t="str">
        <f>VLOOKUP($A451,'MG Universe'!$A$2:$R$9994,4)</f>
        <v>S</v>
      </c>
      <c r="E451" s="19" t="str">
        <f>VLOOKUP($A451,'MG Universe'!$A$2:$R$9994,5)</f>
        <v>F</v>
      </c>
      <c r="F451" s="20" t="str">
        <f>VLOOKUP($A451,'MG Universe'!$A$2:$R$9994,6)</f>
        <v>SF</v>
      </c>
      <c r="G451" s="103">
        <f>VLOOKUP($A451,'MG Universe'!$A$2:$R$9994,7)</f>
        <v>42313</v>
      </c>
      <c r="H451" s="22">
        <f>VLOOKUP($A451,'MG Universe'!$A$2:$R$9994,8)</f>
        <v>255.26</v>
      </c>
      <c r="I451" s="22">
        <f>VLOOKUP($A451,'MG Universe'!$A$2:$R$9994,9)</f>
        <v>193.41</v>
      </c>
      <c r="J451" s="23">
        <f>VLOOKUP($A451,'MG Universe'!$A$2:$R$9994,10)</f>
        <v>0.75770000000000004</v>
      </c>
      <c r="K451" s="105">
        <f>VLOOKUP($A451,'MG Universe'!$A$2:$R$9994,11)</f>
        <v>29.17</v>
      </c>
      <c r="L451" s="23">
        <f>VLOOKUP($A451,'MG Universe'!$A$2:$R$9994,12)</f>
        <v>1.55E-2</v>
      </c>
      <c r="M451" s="106">
        <f>VLOOKUP($A451,'MG Universe'!$A$2:$R$9994,13)</f>
        <v>0.9</v>
      </c>
      <c r="N451" s="107">
        <f>VLOOKUP($A451,'MG Universe'!$A$2:$R$9994,14)</f>
        <v>0.5</v>
      </c>
      <c r="O451" s="22">
        <f>VLOOKUP($A451,'MG Universe'!$A$2:$R$9994,15)</f>
        <v>-133.03</v>
      </c>
      <c r="P451" s="23">
        <f>VLOOKUP($A451,'MG Universe'!$A$2:$R$9994,16)</f>
        <v>0.10340000000000001</v>
      </c>
      <c r="Q451" s="109">
        <f>VLOOKUP($A451,'MG Universe'!$A$2:$R$9994,17)</f>
        <v>6</v>
      </c>
      <c r="R451" s="22">
        <f>VLOOKUP($A451,'MG Universe'!$A$2:$R$9994,18)</f>
        <v>66.58</v>
      </c>
    </row>
    <row r="452" spans="1:18" x14ac:dyDescent="0.55000000000000004">
      <c r="A452" s="18" t="s">
        <v>455</v>
      </c>
      <c r="B452" s="19" t="str">
        <f>VLOOKUP($A452,'MG Universe'!$A$2:$R$9994,2)</f>
        <v>Time Warner Inc</v>
      </c>
      <c r="C452" s="19" t="str">
        <f>VLOOKUP($A452,'MG Universe'!$A$2:$R$9994,3)</f>
        <v>C</v>
      </c>
      <c r="D452" s="19" t="str">
        <f>VLOOKUP($A452,'MG Universe'!$A$2:$R$9994,4)</f>
        <v>S</v>
      </c>
      <c r="E452" s="19" t="str">
        <f>VLOOKUP($A452,'MG Universe'!$A$2:$R$9994,5)</f>
        <v>U</v>
      </c>
      <c r="F452" s="20" t="str">
        <f>VLOOKUP($A452,'MG Universe'!$A$2:$R$9994,6)</f>
        <v>SU</v>
      </c>
      <c r="G452" s="103">
        <f>VLOOKUP($A452,'MG Universe'!$A$2:$R$9994,7)</f>
        <v>42033</v>
      </c>
      <c r="H452" s="22">
        <f>VLOOKUP($A452,'MG Universe'!$A$2:$R$9994,8)</f>
        <v>135.26</v>
      </c>
      <c r="I452" s="22">
        <f>VLOOKUP($A452,'MG Universe'!$A$2:$R$9994,9)</f>
        <v>66.760000000000005</v>
      </c>
      <c r="J452" s="23">
        <f>VLOOKUP($A452,'MG Universe'!$A$2:$R$9994,10)</f>
        <v>0.49359999999999998</v>
      </c>
      <c r="K452" s="105">
        <f>VLOOKUP($A452,'MG Universe'!$A$2:$R$9994,11)</f>
        <v>19.02</v>
      </c>
      <c r="L452" s="23">
        <f>VLOOKUP($A452,'MG Universe'!$A$2:$R$9994,12)</f>
        <v>2.41E-2</v>
      </c>
      <c r="M452" s="106">
        <f>VLOOKUP($A452,'MG Universe'!$A$2:$R$9994,13)</f>
        <v>1.2</v>
      </c>
      <c r="N452" s="107">
        <f>VLOOKUP($A452,'MG Universe'!$A$2:$R$9994,14)</f>
        <v>1.48</v>
      </c>
      <c r="O452" s="22">
        <f>VLOOKUP($A452,'MG Universe'!$A$2:$R$9994,15)</f>
        <v>-28.7</v>
      </c>
      <c r="P452" s="23">
        <f>VLOOKUP($A452,'MG Universe'!$A$2:$R$9994,16)</f>
        <v>5.2600000000000001E-2</v>
      </c>
      <c r="Q452" s="109">
        <f>VLOOKUP($A452,'MG Universe'!$A$2:$R$9994,17)</f>
        <v>0</v>
      </c>
      <c r="R452" s="22">
        <f>VLOOKUP($A452,'MG Universe'!$A$2:$R$9994,18)</f>
        <v>0</v>
      </c>
    </row>
    <row r="453" spans="1:18" x14ac:dyDescent="0.55000000000000004">
      <c r="A453" s="18" t="s">
        <v>283</v>
      </c>
      <c r="B453" s="19" t="str">
        <f>VLOOKUP($A453,'MG Universe'!$A$2:$R$9994,2)</f>
        <v>Texas Instruments Incorporated</v>
      </c>
      <c r="C453" s="19" t="str">
        <f>VLOOKUP($A453,'MG Universe'!$A$2:$R$9994,3)</f>
        <v>B-</v>
      </c>
      <c r="D453" s="19" t="str">
        <f>VLOOKUP($A453,'MG Universe'!$A$2:$R$9994,4)</f>
        <v>E</v>
      </c>
      <c r="E453" s="19" t="str">
        <f>VLOOKUP($A453,'MG Universe'!$A$2:$R$9994,5)</f>
        <v>F</v>
      </c>
      <c r="F453" s="20" t="str">
        <f>VLOOKUP($A453,'MG Universe'!$A$2:$R$9994,6)</f>
        <v>EF</v>
      </c>
      <c r="G453" s="103">
        <f>VLOOKUP($A453,'MG Universe'!$A$2:$R$9994,7)</f>
        <v>42410</v>
      </c>
      <c r="H453" s="22">
        <f>VLOOKUP($A453,'MG Universe'!$A$2:$R$9994,8)</f>
        <v>53.05</v>
      </c>
      <c r="I453" s="22">
        <f>VLOOKUP($A453,'MG Universe'!$A$2:$R$9994,9)</f>
        <v>54.42</v>
      </c>
      <c r="J453" s="23">
        <f>VLOOKUP($A453,'MG Universe'!$A$2:$R$9994,10)</f>
        <v>1.0258</v>
      </c>
      <c r="K453" s="105">
        <f>VLOOKUP($A453,'MG Universe'!$A$2:$R$9994,11)</f>
        <v>21.6</v>
      </c>
      <c r="L453" s="23">
        <f>VLOOKUP($A453,'MG Universe'!$A$2:$R$9994,12)</f>
        <v>2.7900000000000001E-2</v>
      </c>
      <c r="M453" s="106">
        <f>VLOOKUP($A453,'MG Universe'!$A$2:$R$9994,13)</f>
        <v>1.3</v>
      </c>
      <c r="N453" s="107">
        <f>VLOOKUP($A453,'MG Universe'!$A$2:$R$9994,14)</f>
        <v>2.77</v>
      </c>
      <c r="O453" s="22">
        <f>VLOOKUP($A453,'MG Universe'!$A$2:$R$9994,15)</f>
        <v>0.76</v>
      </c>
      <c r="P453" s="23">
        <f>VLOOKUP($A453,'MG Universe'!$A$2:$R$9994,16)</f>
        <v>6.5500000000000003E-2</v>
      </c>
      <c r="Q453" s="109">
        <f>VLOOKUP($A453,'MG Universe'!$A$2:$R$9994,17)</f>
        <v>13</v>
      </c>
      <c r="R453" s="22">
        <f>VLOOKUP($A453,'MG Universe'!$A$2:$R$9994,18)</f>
        <v>24.07</v>
      </c>
    </row>
    <row r="454" spans="1:18" x14ac:dyDescent="0.55000000000000004">
      <c r="A454" s="18" t="s">
        <v>285</v>
      </c>
      <c r="B454" s="19" t="str">
        <f>VLOOKUP($A454,'MG Universe'!$A$2:$R$9994,2)</f>
        <v>Textron Inc.</v>
      </c>
      <c r="C454" s="19" t="str">
        <f>VLOOKUP($A454,'MG Universe'!$A$2:$R$9994,3)</f>
        <v>B-</v>
      </c>
      <c r="D454" s="19" t="str">
        <f>VLOOKUP($A454,'MG Universe'!$A$2:$R$9994,4)</f>
        <v>E</v>
      </c>
      <c r="E454" s="19" t="str">
        <f>VLOOKUP($A454,'MG Universe'!$A$2:$R$9994,5)</f>
        <v>U</v>
      </c>
      <c r="F454" s="20" t="str">
        <f>VLOOKUP($A454,'MG Universe'!$A$2:$R$9994,6)</f>
        <v>EU</v>
      </c>
      <c r="G454" s="103">
        <f>VLOOKUP($A454,'MG Universe'!$A$2:$R$9994,7)</f>
        <v>42349</v>
      </c>
      <c r="H454" s="22">
        <f>VLOOKUP($A454,'MG Universe'!$A$2:$R$9994,8)</f>
        <v>79.08</v>
      </c>
      <c r="I454" s="22">
        <f>VLOOKUP($A454,'MG Universe'!$A$2:$R$9994,9)</f>
        <v>34.17</v>
      </c>
      <c r="J454" s="23">
        <f>VLOOKUP($A454,'MG Universe'!$A$2:$R$9994,10)</f>
        <v>0.43209999999999998</v>
      </c>
      <c r="K454" s="105">
        <f>VLOOKUP($A454,'MG Universe'!$A$2:$R$9994,11)</f>
        <v>16.670000000000002</v>
      </c>
      <c r="L454" s="23">
        <f>VLOOKUP($A454,'MG Universe'!$A$2:$R$9994,12)</f>
        <v>2.3E-3</v>
      </c>
      <c r="M454" s="106">
        <f>VLOOKUP($A454,'MG Universe'!$A$2:$R$9994,13)</f>
        <v>1.6</v>
      </c>
      <c r="N454" s="107">
        <f>VLOOKUP($A454,'MG Universe'!$A$2:$R$9994,14)</f>
        <v>1.61</v>
      </c>
      <c r="O454" s="22">
        <f>VLOOKUP($A454,'MG Universe'!$A$2:$R$9994,15)</f>
        <v>-12.46</v>
      </c>
      <c r="P454" s="23">
        <f>VLOOKUP($A454,'MG Universe'!$A$2:$R$9994,16)</f>
        <v>4.0800000000000003E-2</v>
      </c>
      <c r="Q454" s="109">
        <f>VLOOKUP($A454,'MG Universe'!$A$2:$R$9994,17)</f>
        <v>0</v>
      </c>
      <c r="R454" s="22">
        <f>VLOOKUP($A454,'MG Universe'!$A$2:$R$9994,18)</f>
        <v>30.75</v>
      </c>
    </row>
    <row r="455" spans="1:18" x14ac:dyDescent="0.55000000000000004">
      <c r="A455" s="18" t="s">
        <v>612</v>
      </c>
      <c r="B455" s="19" t="str">
        <f>VLOOKUP($A455,'MG Universe'!$A$2:$R$9994,2)</f>
        <v>Tyco International plc (Ireland) Ordinary Share</v>
      </c>
      <c r="C455" s="19" t="str">
        <f>VLOOKUP($A455,'MG Universe'!$A$2:$R$9994,3)</f>
        <v>C-</v>
      </c>
      <c r="D455" s="19" t="str">
        <f>VLOOKUP($A455,'MG Universe'!$A$2:$R$9994,4)</f>
        <v>S</v>
      </c>
      <c r="E455" s="19" t="str">
        <f>VLOOKUP($A455,'MG Universe'!$A$2:$R$9994,5)</f>
        <v>F</v>
      </c>
      <c r="F455" s="20" t="str">
        <f>VLOOKUP($A455,'MG Universe'!$A$2:$R$9994,6)</f>
        <v>SF</v>
      </c>
      <c r="G455" s="103">
        <f>VLOOKUP($A455,'MG Universe'!$A$2:$R$9994,7)</f>
        <v>42332</v>
      </c>
      <c r="H455" s="22">
        <f>VLOOKUP($A455,'MG Universe'!$A$2:$R$9994,8)</f>
        <v>41.42</v>
      </c>
      <c r="I455" s="22">
        <f>VLOOKUP($A455,'MG Universe'!$A$2:$R$9994,9)</f>
        <v>35.869999999999997</v>
      </c>
      <c r="J455" s="23">
        <f>VLOOKUP($A455,'MG Universe'!$A$2:$R$9994,10)</f>
        <v>0.86599999999999999</v>
      </c>
      <c r="K455" s="105">
        <f>VLOOKUP($A455,'MG Universe'!$A$2:$R$9994,11)</f>
        <v>17.579999999999998</v>
      </c>
      <c r="L455" s="23">
        <f>VLOOKUP($A455,'MG Universe'!$A$2:$R$9994,12)</f>
        <v>2.29E-2</v>
      </c>
      <c r="M455" s="106">
        <f>VLOOKUP($A455,'MG Universe'!$A$2:$R$9994,13)</f>
        <v>1.1000000000000001</v>
      </c>
      <c r="N455" s="107">
        <f>VLOOKUP($A455,'MG Universe'!$A$2:$R$9994,14)</f>
        <v>1.21</v>
      </c>
      <c r="O455" s="22">
        <f>VLOOKUP($A455,'MG Universe'!$A$2:$R$9994,15)</f>
        <v>-8.49</v>
      </c>
      <c r="P455" s="23">
        <f>VLOOKUP($A455,'MG Universe'!$A$2:$R$9994,16)</f>
        <v>4.5400000000000003E-2</v>
      </c>
      <c r="Q455" s="109">
        <f>VLOOKUP($A455,'MG Universe'!$A$2:$R$9994,17)</f>
        <v>3</v>
      </c>
      <c r="R455" s="22">
        <f>VLOOKUP($A455,'MG Universe'!$A$2:$R$9994,18)</f>
        <v>21.01</v>
      </c>
    </row>
    <row r="456" spans="1:18" x14ac:dyDescent="0.55000000000000004">
      <c r="A456" s="18" t="s">
        <v>614</v>
      </c>
      <c r="B456" s="19" t="str">
        <f>VLOOKUP($A456,'MG Universe'!$A$2:$R$9994,2)</f>
        <v>Under Armour Inc</v>
      </c>
      <c r="C456" s="19" t="str">
        <f>VLOOKUP($A456,'MG Universe'!$A$2:$R$9994,3)</f>
        <v>C-</v>
      </c>
      <c r="D456" s="19" t="str">
        <f>VLOOKUP($A456,'MG Universe'!$A$2:$R$9994,4)</f>
        <v>E</v>
      </c>
      <c r="E456" s="19" t="str">
        <f>VLOOKUP($A456,'MG Universe'!$A$2:$R$9994,5)</f>
        <v>O</v>
      </c>
      <c r="F456" s="20" t="str">
        <f>VLOOKUP($A456,'MG Universe'!$A$2:$R$9994,6)</f>
        <v>EO</v>
      </c>
      <c r="G456" s="103">
        <f>VLOOKUP($A456,'MG Universe'!$A$2:$R$9994,7)</f>
        <v>42305</v>
      </c>
      <c r="H456" s="22">
        <f>VLOOKUP($A456,'MG Universe'!$A$2:$R$9994,8)</f>
        <v>27.13</v>
      </c>
      <c r="I456" s="22">
        <f>VLOOKUP($A456,'MG Universe'!$A$2:$R$9994,9)</f>
        <v>83.94</v>
      </c>
      <c r="J456" s="23">
        <f>VLOOKUP($A456,'MG Universe'!$A$2:$R$9994,10)</f>
        <v>3.0939999999999999</v>
      </c>
      <c r="K456" s="105">
        <f>VLOOKUP($A456,'MG Universe'!$A$2:$R$9994,11)</f>
        <v>119.91</v>
      </c>
      <c r="L456" s="23" t="str">
        <f>VLOOKUP($A456,'MG Universe'!$A$2:$R$9994,12)</f>
        <v>N/A</v>
      </c>
      <c r="M456" s="106">
        <f>VLOOKUP($A456,'MG Universe'!$A$2:$R$9994,13)</f>
        <v>0.7</v>
      </c>
      <c r="N456" s="107">
        <f>VLOOKUP($A456,'MG Universe'!$A$2:$R$9994,14)</f>
        <v>2.09</v>
      </c>
      <c r="O456" s="22">
        <f>VLOOKUP($A456,'MG Universe'!$A$2:$R$9994,15)</f>
        <v>1.28</v>
      </c>
      <c r="P456" s="23">
        <f>VLOOKUP($A456,'MG Universe'!$A$2:$R$9994,16)</f>
        <v>0.55710000000000004</v>
      </c>
      <c r="Q456" s="109">
        <f>VLOOKUP($A456,'MG Universe'!$A$2:$R$9994,17)</f>
        <v>0</v>
      </c>
      <c r="R456" s="22">
        <f>VLOOKUP($A456,'MG Universe'!$A$2:$R$9994,18)</f>
        <v>9.56</v>
      </c>
    </row>
    <row r="457" spans="1:18" x14ac:dyDescent="0.55000000000000004">
      <c r="A457" s="18" t="s">
        <v>616</v>
      </c>
      <c r="B457" s="19" t="str">
        <f>VLOOKUP($A457,'MG Universe'!$A$2:$R$9994,2)</f>
        <v>Universal Health Services, Inc.</v>
      </c>
      <c r="C457" s="19" t="str">
        <f>VLOOKUP($A457,'MG Universe'!$A$2:$R$9994,3)</f>
        <v>C-</v>
      </c>
      <c r="D457" s="19" t="str">
        <f>VLOOKUP($A457,'MG Universe'!$A$2:$R$9994,4)</f>
        <v>S</v>
      </c>
      <c r="E457" s="19" t="str">
        <f>VLOOKUP($A457,'MG Universe'!$A$2:$R$9994,5)</f>
        <v>U</v>
      </c>
      <c r="F457" s="20" t="str">
        <f>VLOOKUP($A457,'MG Universe'!$A$2:$R$9994,6)</f>
        <v>SU</v>
      </c>
      <c r="G457" s="103">
        <f>VLOOKUP($A457,'MG Universe'!$A$2:$R$9994,7)</f>
        <v>42201</v>
      </c>
      <c r="H457" s="22">
        <f>VLOOKUP($A457,'MG Universe'!$A$2:$R$9994,8)</f>
        <v>196.52</v>
      </c>
      <c r="I457" s="22">
        <f>VLOOKUP($A457,'MG Universe'!$A$2:$R$9994,9)</f>
        <v>115.36</v>
      </c>
      <c r="J457" s="23">
        <f>VLOOKUP($A457,'MG Universe'!$A$2:$R$9994,10)</f>
        <v>0.58699999999999997</v>
      </c>
      <c r="K457" s="105">
        <f>VLOOKUP($A457,'MG Universe'!$A$2:$R$9994,11)</f>
        <v>21.05</v>
      </c>
      <c r="L457" s="23">
        <f>VLOOKUP($A457,'MG Universe'!$A$2:$R$9994,12)</f>
        <v>3.5000000000000001E-3</v>
      </c>
      <c r="M457" s="106">
        <f>VLOOKUP($A457,'MG Universe'!$A$2:$R$9994,13)</f>
        <v>1.5</v>
      </c>
      <c r="N457" s="107">
        <f>VLOOKUP($A457,'MG Universe'!$A$2:$R$9994,14)</f>
        <v>1.37</v>
      </c>
      <c r="O457" s="22">
        <f>VLOOKUP($A457,'MG Universe'!$A$2:$R$9994,15)</f>
        <v>-34.39</v>
      </c>
      <c r="P457" s="23">
        <f>VLOOKUP($A457,'MG Universe'!$A$2:$R$9994,16)</f>
        <v>6.2799999999999995E-2</v>
      </c>
      <c r="Q457" s="109">
        <f>VLOOKUP($A457,'MG Universe'!$A$2:$R$9994,17)</f>
        <v>0</v>
      </c>
      <c r="R457" s="22">
        <f>VLOOKUP($A457,'MG Universe'!$A$2:$R$9994,18)</f>
        <v>0</v>
      </c>
    </row>
    <row r="458" spans="1:18" x14ac:dyDescent="0.55000000000000004">
      <c r="A458" s="18" t="s">
        <v>1003</v>
      </c>
      <c r="B458" s="19" t="str">
        <f>VLOOKUP($A458,'MG Universe'!$A$2:$R$9994,2)</f>
        <v>UnitedHealth Group Inc</v>
      </c>
      <c r="C458" s="19" t="str">
        <f>VLOOKUP($A458,'MG Universe'!$A$2:$R$9994,3)</f>
        <v>D+</v>
      </c>
      <c r="D458" s="19" t="str">
        <f>VLOOKUP($A458,'MG Universe'!$A$2:$R$9994,4)</f>
        <v>S</v>
      </c>
      <c r="E458" s="19" t="str">
        <f>VLOOKUP($A458,'MG Universe'!$A$2:$R$9994,5)</f>
        <v>F</v>
      </c>
      <c r="F458" s="20" t="str">
        <f>VLOOKUP($A458,'MG Universe'!$A$2:$R$9994,6)</f>
        <v>SF</v>
      </c>
      <c r="G458" s="103">
        <f>VLOOKUP($A458,'MG Universe'!$A$2:$R$9994,7)</f>
        <v>42324</v>
      </c>
      <c r="H458" s="22">
        <f>VLOOKUP($A458,'MG Universe'!$A$2:$R$9994,8)</f>
        <v>130.87</v>
      </c>
      <c r="I458" s="22">
        <f>VLOOKUP($A458,'MG Universe'!$A$2:$R$9994,9)</f>
        <v>121.27</v>
      </c>
      <c r="J458" s="23">
        <f>VLOOKUP($A458,'MG Universe'!$A$2:$R$9994,10)</f>
        <v>0.92659999999999998</v>
      </c>
      <c r="K458" s="105">
        <f>VLOOKUP($A458,'MG Universe'!$A$2:$R$9994,11)</f>
        <v>21.2</v>
      </c>
      <c r="L458" s="23">
        <f>VLOOKUP($A458,'MG Universe'!$A$2:$R$9994,12)</f>
        <v>1.6500000000000001E-2</v>
      </c>
      <c r="M458" s="106">
        <f>VLOOKUP($A458,'MG Universe'!$A$2:$R$9994,13)</f>
        <v>0.6</v>
      </c>
      <c r="N458" s="107">
        <f>VLOOKUP($A458,'MG Universe'!$A$2:$R$9994,14)</f>
        <v>0.75</v>
      </c>
      <c r="O458" s="22">
        <f>VLOOKUP($A458,'MG Universe'!$A$2:$R$9994,15)</f>
        <v>-46.77</v>
      </c>
      <c r="P458" s="23">
        <f>VLOOKUP($A458,'MG Universe'!$A$2:$R$9994,16)</f>
        <v>6.3500000000000001E-2</v>
      </c>
      <c r="Q458" s="109">
        <f>VLOOKUP($A458,'MG Universe'!$A$2:$R$9994,17)</f>
        <v>6</v>
      </c>
      <c r="R458" s="22">
        <f>VLOOKUP($A458,'MG Universe'!$A$2:$R$9994,18)</f>
        <v>69.83</v>
      </c>
    </row>
    <row r="459" spans="1:18" x14ac:dyDescent="0.55000000000000004">
      <c r="A459" s="18" t="s">
        <v>67</v>
      </c>
      <c r="B459" s="19" t="str">
        <f>VLOOKUP($A459,'MG Universe'!$A$2:$R$9994,2)</f>
        <v>Unum Group</v>
      </c>
      <c r="C459" s="19" t="str">
        <f>VLOOKUP($A459,'MG Universe'!$A$2:$R$9994,3)</f>
        <v>A</v>
      </c>
      <c r="D459" s="19" t="str">
        <f>VLOOKUP($A459,'MG Universe'!$A$2:$R$9994,4)</f>
        <v>D</v>
      </c>
      <c r="E459" s="19" t="str">
        <f>VLOOKUP($A459,'MG Universe'!$A$2:$R$9994,5)</f>
        <v>U</v>
      </c>
      <c r="F459" s="20" t="str">
        <f>VLOOKUP($A459,'MG Universe'!$A$2:$R$9994,6)</f>
        <v>DU</v>
      </c>
      <c r="G459" s="103">
        <f>VLOOKUP($A459,'MG Universe'!$A$2:$R$9994,7)</f>
        <v>42319</v>
      </c>
      <c r="H459" s="22">
        <f>VLOOKUP($A459,'MG Universe'!$A$2:$R$9994,8)</f>
        <v>58.58</v>
      </c>
      <c r="I459" s="22">
        <f>VLOOKUP($A459,'MG Universe'!$A$2:$R$9994,9)</f>
        <v>30.45</v>
      </c>
      <c r="J459" s="23">
        <f>VLOOKUP($A459,'MG Universe'!$A$2:$R$9994,10)</f>
        <v>0.51980000000000004</v>
      </c>
      <c r="K459" s="105">
        <f>VLOOKUP($A459,'MG Universe'!$A$2:$R$9994,11)</f>
        <v>11.19</v>
      </c>
      <c r="L459" s="23">
        <f>VLOOKUP($A459,'MG Universe'!$A$2:$R$9994,12)</f>
        <v>2.4299999999999999E-2</v>
      </c>
      <c r="M459" s="106">
        <f>VLOOKUP($A459,'MG Universe'!$A$2:$R$9994,13)</f>
        <v>1.4</v>
      </c>
      <c r="N459" s="107" t="str">
        <f>VLOOKUP($A459,'MG Universe'!$A$2:$R$9994,14)</f>
        <v>N/A</v>
      </c>
      <c r="O459" s="22" t="str">
        <f>VLOOKUP($A459,'MG Universe'!$A$2:$R$9994,15)</f>
        <v>N/A</v>
      </c>
      <c r="P459" s="23">
        <f>VLOOKUP($A459,'MG Universe'!$A$2:$R$9994,16)</f>
        <v>1.35E-2</v>
      </c>
      <c r="Q459" s="109">
        <f>VLOOKUP($A459,'MG Universe'!$A$2:$R$9994,17)</f>
        <v>7</v>
      </c>
      <c r="R459" s="22">
        <f>VLOOKUP($A459,'MG Universe'!$A$2:$R$9994,18)</f>
        <v>52.46</v>
      </c>
    </row>
    <row r="460" spans="1:18" x14ac:dyDescent="0.55000000000000004">
      <c r="A460" s="18" t="s">
        <v>344</v>
      </c>
      <c r="B460" s="19" t="str">
        <f>VLOOKUP($A460,'MG Universe'!$A$2:$R$9994,2)</f>
        <v>Union Pacific Corporation</v>
      </c>
      <c r="C460" s="19" t="str">
        <f>VLOOKUP($A460,'MG Universe'!$A$2:$R$9994,3)</f>
        <v>B+</v>
      </c>
      <c r="D460" s="19" t="str">
        <f>VLOOKUP($A460,'MG Universe'!$A$2:$R$9994,4)</f>
        <v>D</v>
      </c>
      <c r="E460" s="19" t="str">
        <f>VLOOKUP($A460,'MG Universe'!$A$2:$R$9994,5)</f>
        <v>U</v>
      </c>
      <c r="F460" s="20" t="str">
        <f>VLOOKUP($A460,'MG Universe'!$A$2:$R$9994,6)</f>
        <v>DU</v>
      </c>
      <c r="G460" s="103">
        <f>VLOOKUP($A460,'MG Universe'!$A$2:$R$9994,7)</f>
        <v>42401</v>
      </c>
      <c r="H460" s="22">
        <f>VLOOKUP($A460,'MG Universe'!$A$2:$R$9994,8)</f>
        <v>144.36000000000001</v>
      </c>
      <c r="I460" s="22">
        <f>VLOOKUP($A460,'MG Universe'!$A$2:$R$9994,9)</f>
        <v>79.47</v>
      </c>
      <c r="J460" s="23">
        <f>VLOOKUP($A460,'MG Universe'!$A$2:$R$9994,10)</f>
        <v>0.55049999999999999</v>
      </c>
      <c r="K460" s="105">
        <f>VLOOKUP($A460,'MG Universe'!$A$2:$R$9994,11)</f>
        <v>15.11</v>
      </c>
      <c r="L460" s="23">
        <f>VLOOKUP($A460,'MG Universe'!$A$2:$R$9994,12)</f>
        <v>2.7699999999999999E-2</v>
      </c>
      <c r="M460" s="106">
        <f>VLOOKUP($A460,'MG Universe'!$A$2:$R$9994,13)</f>
        <v>1</v>
      </c>
      <c r="N460" s="107">
        <f>VLOOKUP($A460,'MG Universe'!$A$2:$R$9994,14)</f>
        <v>1.29</v>
      </c>
      <c r="O460" s="22">
        <f>VLOOKUP($A460,'MG Universe'!$A$2:$R$9994,15)</f>
        <v>-34.79</v>
      </c>
      <c r="P460" s="23">
        <f>VLOOKUP($A460,'MG Universe'!$A$2:$R$9994,16)</f>
        <v>3.3000000000000002E-2</v>
      </c>
      <c r="Q460" s="109">
        <f>VLOOKUP($A460,'MG Universe'!$A$2:$R$9994,17)</f>
        <v>10</v>
      </c>
      <c r="R460" s="22">
        <f>VLOOKUP($A460,'MG Universe'!$A$2:$R$9994,18)</f>
        <v>52.17</v>
      </c>
    </row>
    <row r="461" spans="1:18" x14ac:dyDescent="0.55000000000000004">
      <c r="A461" s="18" t="s">
        <v>821</v>
      </c>
      <c r="B461" s="19" t="str">
        <f>VLOOKUP($A461,'MG Universe'!$A$2:$R$9994,2)</f>
        <v>United Parcel Service, Inc.</v>
      </c>
      <c r="C461" s="19" t="str">
        <f>VLOOKUP($A461,'MG Universe'!$A$2:$R$9994,3)</f>
        <v>D</v>
      </c>
      <c r="D461" s="19" t="str">
        <f>VLOOKUP($A461,'MG Universe'!$A$2:$R$9994,4)</f>
        <v>S</v>
      </c>
      <c r="E461" s="19" t="str">
        <f>VLOOKUP($A461,'MG Universe'!$A$2:$R$9994,5)</f>
        <v>O</v>
      </c>
      <c r="F461" s="20" t="str">
        <f>VLOOKUP($A461,'MG Universe'!$A$2:$R$9994,6)</f>
        <v>SO</v>
      </c>
      <c r="G461" s="103">
        <f>VLOOKUP($A461,'MG Universe'!$A$2:$R$9994,7)</f>
        <v>42305</v>
      </c>
      <c r="H461" s="22">
        <f>VLOOKUP($A461,'MG Universe'!$A$2:$R$9994,8)</f>
        <v>64.680000000000007</v>
      </c>
      <c r="I461" s="22">
        <f>VLOOKUP($A461,'MG Universe'!$A$2:$R$9994,9)</f>
        <v>98.75</v>
      </c>
      <c r="J461" s="23">
        <f>VLOOKUP($A461,'MG Universe'!$A$2:$R$9994,10)</f>
        <v>1.5266999999999999</v>
      </c>
      <c r="K461" s="105">
        <f>VLOOKUP($A461,'MG Universe'!$A$2:$R$9994,11)</f>
        <v>25.65</v>
      </c>
      <c r="L461" s="23">
        <f>VLOOKUP($A461,'MG Universe'!$A$2:$R$9994,12)</f>
        <v>3.1600000000000003E-2</v>
      </c>
      <c r="M461" s="106">
        <f>VLOOKUP($A461,'MG Universe'!$A$2:$R$9994,13)</f>
        <v>0.9</v>
      </c>
      <c r="N461" s="107">
        <f>VLOOKUP($A461,'MG Universe'!$A$2:$R$9994,14)</f>
        <v>1.34</v>
      </c>
      <c r="O461" s="22">
        <f>VLOOKUP($A461,'MG Universe'!$A$2:$R$9994,15)</f>
        <v>-23.71</v>
      </c>
      <c r="P461" s="23">
        <f>VLOOKUP($A461,'MG Universe'!$A$2:$R$9994,16)</f>
        <v>8.5699999999999998E-2</v>
      </c>
      <c r="Q461" s="109">
        <f>VLOOKUP($A461,'MG Universe'!$A$2:$R$9994,17)</f>
        <v>6</v>
      </c>
      <c r="R461" s="22">
        <f>VLOOKUP($A461,'MG Universe'!$A$2:$R$9994,18)</f>
        <v>15.74</v>
      </c>
    </row>
    <row r="462" spans="1:18" x14ac:dyDescent="0.55000000000000004">
      <c r="A462" s="18" t="s">
        <v>287</v>
      </c>
      <c r="B462" s="19" t="str">
        <f>VLOOKUP($A462,'MG Universe'!$A$2:$R$9994,2)</f>
        <v>Urban Outfitters, Inc.</v>
      </c>
      <c r="C462" s="19" t="str">
        <f>VLOOKUP($A462,'MG Universe'!$A$2:$R$9994,3)</f>
        <v>B-</v>
      </c>
      <c r="D462" s="19" t="str">
        <f>VLOOKUP($A462,'MG Universe'!$A$2:$R$9994,4)</f>
        <v>D</v>
      </c>
      <c r="E462" s="19" t="str">
        <f>VLOOKUP($A462,'MG Universe'!$A$2:$R$9994,5)</f>
        <v>F</v>
      </c>
      <c r="F462" s="20" t="str">
        <f>VLOOKUP($A462,'MG Universe'!$A$2:$R$9994,6)</f>
        <v>DF</v>
      </c>
      <c r="G462" s="103">
        <f>VLOOKUP($A462,'MG Universe'!$A$2:$R$9994,7)</f>
        <v>42375</v>
      </c>
      <c r="H462" s="22">
        <f>VLOOKUP($A462,'MG Universe'!$A$2:$R$9994,8)</f>
        <v>29.75</v>
      </c>
      <c r="I462" s="22">
        <f>VLOOKUP($A462,'MG Universe'!$A$2:$R$9994,9)</f>
        <v>26.99</v>
      </c>
      <c r="J462" s="23">
        <f>VLOOKUP($A462,'MG Universe'!$A$2:$R$9994,10)</f>
        <v>0.90720000000000001</v>
      </c>
      <c r="K462" s="105">
        <f>VLOOKUP($A462,'MG Universe'!$A$2:$R$9994,11)</f>
        <v>15.97</v>
      </c>
      <c r="L462" s="23" t="str">
        <f>VLOOKUP($A462,'MG Universe'!$A$2:$R$9994,12)</f>
        <v>N/A</v>
      </c>
      <c r="M462" s="106">
        <f>VLOOKUP($A462,'MG Universe'!$A$2:$R$9994,13)</f>
        <v>1</v>
      </c>
      <c r="N462" s="107">
        <f>VLOOKUP($A462,'MG Universe'!$A$2:$R$9994,14)</f>
        <v>2.2400000000000002</v>
      </c>
      <c r="O462" s="22">
        <f>VLOOKUP($A462,'MG Universe'!$A$2:$R$9994,15)</f>
        <v>1.1499999999999999</v>
      </c>
      <c r="P462" s="23">
        <f>VLOOKUP($A462,'MG Universe'!$A$2:$R$9994,16)</f>
        <v>3.7400000000000003E-2</v>
      </c>
      <c r="Q462" s="109">
        <f>VLOOKUP($A462,'MG Universe'!$A$2:$R$9994,17)</f>
        <v>0</v>
      </c>
      <c r="R462" s="22">
        <f>VLOOKUP($A462,'MG Universe'!$A$2:$R$9994,18)</f>
        <v>19.07</v>
      </c>
    </row>
    <row r="463" spans="1:18" x14ac:dyDescent="0.55000000000000004">
      <c r="A463" s="18" t="s">
        <v>618</v>
      </c>
      <c r="B463" s="19" t="str">
        <f>VLOOKUP($A463,'MG Universe'!$A$2:$R$9994,2)</f>
        <v>United Rentals, Inc.</v>
      </c>
      <c r="C463" s="19" t="str">
        <f>VLOOKUP($A463,'MG Universe'!$A$2:$R$9994,3)</f>
        <v>C-</v>
      </c>
      <c r="D463" s="19" t="str">
        <f>VLOOKUP($A463,'MG Universe'!$A$2:$R$9994,4)</f>
        <v>S</v>
      </c>
      <c r="E463" s="19" t="str">
        <f>VLOOKUP($A463,'MG Universe'!$A$2:$R$9994,5)</f>
        <v>U</v>
      </c>
      <c r="F463" s="20" t="str">
        <f>VLOOKUP($A463,'MG Universe'!$A$2:$R$9994,6)</f>
        <v>SU</v>
      </c>
      <c r="G463" s="103">
        <f>VLOOKUP($A463,'MG Universe'!$A$2:$R$9994,7)</f>
        <v>42201</v>
      </c>
      <c r="H463" s="22">
        <f>VLOOKUP($A463,'MG Universe'!$A$2:$R$9994,8)</f>
        <v>173.84</v>
      </c>
      <c r="I463" s="22">
        <f>VLOOKUP($A463,'MG Universe'!$A$2:$R$9994,9)</f>
        <v>54.31</v>
      </c>
      <c r="J463" s="23">
        <f>VLOOKUP($A463,'MG Universe'!$A$2:$R$9994,10)</f>
        <v>0.31240000000000001</v>
      </c>
      <c r="K463" s="105">
        <f>VLOOKUP($A463,'MG Universe'!$A$2:$R$9994,11)</f>
        <v>12.02</v>
      </c>
      <c r="L463" s="23" t="str">
        <f>VLOOKUP($A463,'MG Universe'!$A$2:$R$9994,12)</f>
        <v>N/A</v>
      </c>
      <c r="M463" s="106">
        <f>VLOOKUP($A463,'MG Universe'!$A$2:$R$9994,13)</f>
        <v>2.4</v>
      </c>
      <c r="N463" s="107">
        <f>VLOOKUP($A463,'MG Universe'!$A$2:$R$9994,14)</f>
        <v>0.93</v>
      </c>
      <c r="O463" s="22">
        <f>VLOOKUP($A463,'MG Universe'!$A$2:$R$9994,15)</f>
        <v>-94.21</v>
      </c>
      <c r="P463" s="23">
        <f>VLOOKUP($A463,'MG Universe'!$A$2:$R$9994,16)</f>
        <v>1.7600000000000001E-2</v>
      </c>
      <c r="Q463" s="109">
        <f>VLOOKUP($A463,'MG Universe'!$A$2:$R$9994,17)</f>
        <v>0</v>
      </c>
      <c r="R463" s="22">
        <f>VLOOKUP($A463,'MG Universe'!$A$2:$R$9994,18)</f>
        <v>0</v>
      </c>
    </row>
    <row r="464" spans="1:18" x14ac:dyDescent="0.55000000000000004">
      <c r="A464" s="18" t="s">
        <v>69</v>
      </c>
      <c r="B464" s="19" t="str">
        <f>VLOOKUP($A464,'MG Universe'!$A$2:$R$9994,2)</f>
        <v>U.S. Bancorp</v>
      </c>
      <c r="C464" s="19" t="str">
        <f>VLOOKUP($A464,'MG Universe'!$A$2:$R$9994,3)</f>
        <v>A</v>
      </c>
      <c r="D464" s="19" t="str">
        <f>VLOOKUP($A464,'MG Universe'!$A$2:$R$9994,4)</f>
        <v>D</v>
      </c>
      <c r="E464" s="19" t="str">
        <f>VLOOKUP($A464,'MG Universe'!$A$2:$R$9994,5)</f>
        <v>U</v>
      </c>
      <c r="F464" s="20" t="str">
        <f>VLOOKUP($A464,'MG Universe'!$A$2:$R$9994,6)</f>
        <v>DU</v>
      </c>
      <c r="G464" s="103">
        <f>VLOOKUP($A464,'MG Universe'!$A$2:$R$9994,7)</f>
        <v>42409</v>
      </c>
      <c r="H464" s="22">
        <f>VLOOKUP($A464,'MG Universe'!$A$2:$R$9994,8)</f>
        <v>67.3</v>
      </c>
      <c r="I464" s="22">
        <f>VLOOKUP($A464,'MG Universe'!$A$2:$R$9994,9)</f>
        <v>40.53</v>
      </c>
      <c r="J464" s="23">
        <f>VLOOKUP($A464,'MG Universe'!$A$2:$R$9994,10)</f>
        <v>0.60219999999999996</v>
      </c>
      <c r="K464" s="105">
        <f>VLOOKUP($A464,'MG Universe'!$A$2:$R$9994,11)</f>
        <v>12.95</v>
      </c>
      <c r="L464" s="23">
        <f>VLOOKUP($A464,'MG Universe'!$A$2:$R$9994,12)</f>
        <v>2.52E-2</v>
      </c>
      <c r="M464" s="106">
        <f>VLOOKUP($A464,'MG Universe'!$A$2:$R$9994,13)</f>
        <v>0.8</v>
      </c>
      <c r="N464" s="107" t="str">
        <f>VLOOKUP($A464,'MG Universe'!$A$2:$R$9994,14)</f>
        <v>N/A</v>
      </c>
      <c r="O464" s="22" t="str">
        <f>VLOOKUP($A464,'MG Universe'!$A$2:$R$9994,15)</f>
        <v>N/A</v>
      </c>
      <c r="P464" s="23">
        <f>VLOOKUP($A464,'MG Universe'!$A$2:$R$9994,16)</f>
        <v>2.2200000000000001E-2</v>
      </c>
      <c r="Q464" s="109">
        <f>VLOOKUP($A464,'MG Universe'!$A$2:$R$9994,17)</f>
        <v>6</v>
      </c>
      <c r="R464" s="22">
        <f>VLOOKUP($A464,'MG Universe'!$A$2:$R$9994,18)</f>
        <v>41.16</v>
      </c>
    </row>
    <row r="465" spans="1:18" x14ac:dyDescent="0.55000000000000004">
      <c r="A465" s="18" t="s">
        <v>130</v>
      </c>
      <c r="B465" s="19" t="str">
        <f>VLOOKUP($A465,'MG Universe'!$A$2:$R$9994,2)</f>
        <v>United Technologies Corporation</v>
      </c>
      <c r="C465" s="19" t="str">
        <f>VLOOKUP($A465,'MG Universe'!$A$2:$R$9994,3)</f>
        <v>A-</v>
      </c>
      <c r="D465" s="19" t="str">
        <f>VLOOKUP($A465,'MG Universe'!$A$2:$R$9994,4)</f>
        <v>D</v>
      </c>
      <c r="E465" s="19" t="str">
        <f>VLOOKUP($A465,'MG Universe'!$A$2:$R$9994,5)</f>
        <v>F</v>
      </c>
      <c r="F465" s="20" t="str">
        <f>VLOOKUP($A465,'MG Universe'!$A$2:$R$9994,6)</f>
        <v>DF</v>
      </c>
      <c r="G465" s="103">
        <f>VLOOKUP($A465,'MG Universe'!$A$2:$R$9994,7)</f>
        <v>42324</v>
      </c>
      <c r="H465" s="22">
        <f>VLOOKUP($A465,'MG Universe'!$A$2:$R$9994,8)</f>
        <v>106.91</v>
      </c>
      <c r="I465" s="22">
        <f>VLOOKUP($A465,'MG Universe'!$A$2:$R$9994,9)</f>
        <v>95.51</v>
      </c>
      <c r="J465" s="23">
        <f>VLOOKUP($A465,'MG Universe'!$A$2:$R$9994,10)</f>
        <v>0.89339999999999997</v>
      </c>
      <c r="K465" s="105">
        <f>VLOOKUP($A465,'MG Universe'!$A$2:$R$9994,11)</f>
        <v>15.28</v>
      </c>
      <c r="L465" s="23">
        <f>VLOOKUP($A465,'MG Universe'!$A$2:$R$9994,12)</f>
        <v>2.6800000000000001E-2</v>
      </c>
      <c r="M465" s="106">
        <f>VLOOKUP($A465,'MG Universe'!$A$2:$R$9994,13)</f>
        <v>1.1000000000000001</v>
      </c>
      <c r="N465" s="107">
        <f>VLOOKUP($A465,'MG Universe'!$A$2:$R$9994,14)</f>
        <v>1.37</v>
      </c>
      <c r="O465" s="22">
        <f>VLOOKUP($A465,'MG Universe'!$A$2:$R$9994,15)</f>
        <v>-32.729999999999997</v>
      </c>
      <c r="P465" s="23">
        <f>VLOOKUP($A465,'MG Universe'!$A$2:$R$9994,16)</f>
        <v>3.39E-2</v>
      </c>
      <c r="Q465" s="109">
        <f>VLOOKUP($A465,'MG Universe'!$A$2:$R$9994,17)</f>
        <v>20</v>
      </c>
      <c r="R465" s="22">
        <f>VLOOKUP($A465,'MG Universe'!$A$2:$R$9994,18)</f>
        <v>69.17</v>
      </c>
    </row>
    <row r="466" spans="1:18" x14ac:dyDescent="0.55000000000000004">
      <c r="A466" s="18" t="s">
        <v>457</v>
      </c>
      <c r="B466" s="19" t="str">
        <f>VLOOKUP($A466,'MG Universe'!$A$2:$R$9994,2)</f>
        <v>Visa Inc</v>
      </c>
      <c r="C466" s="19" t="str">
        <f>VLOOKUP($A466,'MG Universe'!$A$2:$R$9994,3)</f>
        <v>C</v>
      </c>
      <c r="D466" s="19" t="str">
        <f>VLOOKUP($A466,'MG Universe'!$A$2:$R$9994,4)</f>
        <v>E</v>
      </c>
      <c r="E466" s="19" t="str">
        <f>VLOOKUP($A466,'MG Universe'!$A$2:$R$9994,5)</f>
        <v>F</v>
      </c>
      <c r="F466" s="20" t="str">
        <f>VLOOKUP($A466,'MG Universe'!$A$2:$R$9994,6)</f>
        <v>EF</v>
      </c>
      <c r="G466" s="103">
        <f>VLOOKUP($A466,'MG Universe'!$A$2:$R$9994,7)</f>
        <v>42335</v>
      </c>
      <c r="H466" s="22">
        <f>VLOOKUP($A466,'MG Universe'!$A$2:$R$9994,8)</f>
        <v>90.18</v>
      </c>
      <c r="I466" s="22">
        <f>VLOOKUP($A466,'MG Universe'!$A$2:$R$9994,9)</f>
        <v>74.260000000000005</v>
      </c>
      <c r="J466" s="23">
        <f>VLOOKUP($A466,'MG Universe'!$A$2:$R$9994,10)</f>
        <v>0.82350000000000001</v>
      </c>
      <c r="K466" s="105">
        <f>VLOOKUP($A466,'MG Universe'!$A$2:$R$9994,11)</f>
        <v>31.74</v>
      </c>
      <c r="L466" s="23">
        <f>VLOOKUP($A466,'MG Universe'!$A$2:$R$9994,12)</f>
        <v>7.4999999999999997E-3</v>
      </c>
      <c r="M466" s="106">
        <f>VLOOKUP($A466,'MG Universe'!$A$2:$R$9994,13)</f>
        <v>0.8</v>
      </c>
      <c r="N466" s="107">
        <f>VLOOKUP($A466,'MG Universe'!$A$2:$R$9994,14)</f>
        <v>2.0299999999999998</v>
      </c>
      <c r="O466" s="22">
        <f>VLOOKUP($A466,'MG Universe'!$A$2:$R$9994,15)</f>
        <v>0.2</v>
      </c>
      <c r="P466" s="23">
        <f>VLOOKUP($A466,'MG Universe'!$A$2:$R$9994,16)</f>
        <v>0.1162</v>
      </c>
      <c r="Q466" s="109">
        <f>VLOOKUP($A466,'MG Universe'!$A$2:$R$9994,17)</f>
        <v>8</v>
      </c>
      <c r="R466" s="22">
        <f>VLOOKUP($A466,'MG Universe'!$A$2:$R$9994,18)</f>
        <v>28.87</v>
      </c>
    </row>
    <row r="467" spans="1:18" x14ac:dyDescent="0.55000000000000004">
      <c r="A467" s="18" t="s">
        <v>459</v>
      </c>
      <c r="B467" s="19" t="str">
        <f>VLOOKUP($A467,'MG Universe'!$A$2:$R$9994,2)</f>
        <v>Varian Medical Systems, Inc.</v>
      </c>
      <c r="C467" s="19" t="str">
        <f>VLOOKUP($A467,'MG Universe'!$A$2:$R$9994,3)</f>
        <v>C</v>
      </c>
      <c r="D467" s="19" t="str">
        <f>VLOOKUP($A467,'MG Universe'!$A$2:$R$9994,4)</f>
        <v>E</v>
      </c>
      <c r="E467" s="19" t="str">
        <f>VLOOKUP($A467,'MG Universe'!$A$2:$R$9994,5)</f>
        <v>O</v>
      </c>
      <c r="F467" s="20" t="str">
        <f>VLOOKUP($A467,'MG Universe'!$A$2:$R$9994,6)</f>
        <v>EO</v>
      </c>
      <c r="G467" s="103">
        <f>VLOOKUP($A467,'MG Universe'!$A$2:$R$9994,7)</f>
        <v>42320</v>
      </c>
      <c r="H467" s="22">
        <f>VLOOKUP($A467,'MG Universe'!$A$2:$R$9994,8)</f>
        <v>68.48</v>
      </c>
      <c r="I467" s="22">
        <f>VLOOKUP($A467,'MG Universe'!$A$2:$R$9994,9)</f>
        <v>78.92</v>
      </c>
      <c r="J467" s="23">
        <f>VLOOKUP($A467,'MG Universe'!$A$2:$R$9994,10)</f>
        <v>1.1525000000000001</v>
      </c>
      <c r="K467" s="105">
        <f>VLOOKUP($A467,'MG Universe'!$A$2:$R$9994,11)</f>
        <v>19.25</v>
      </c>
      <c r="L467" s="23" t="str">
        <f>VLOOKUP($A467,'MG Universe'!$A$2:$R$9994,12)</f>
        <v>N/A</v>
      </c>
      <c r="M467" s="106">
        <f>VLOOKUP($A467,'MG Universe'!$A$2:$R$9994,13)</f>
        <v>0.8</v>
      </c>
      <c r="N467" s="107">
        <f>VLOOKUP($A467,'MG Universe'!$A$2:$R$9994,14)</f>
        <v>1.83</v>
      </c>
      <c r="O467" s="22">
        <f>VLOOKUP($A467,'MG Universe'!$A$2:$R$9994,15)</f>
        <v>6.4</v>
      </c>
      <c r="P467" s="23">
        <f>VLOOKUP($A467,'MG Universe'!$A$2:$R$9994,16)</f>
        <v>5.3699999999999998E-2</v>
      </c>
      <c r="Q467" s="109">
        <f>VLOOKUP($A467,'MG Universe'!$A$2:$R$9994,17)</f>
        <v>0</v>
      </c>
      <c r="R467" s="22">
        <f>VLOOKUP($A467,'MG Universe'!$A$2:$R$9994,18)</f>
        <v>41.17</v>
      </c>
    </row>
    <row r="468" spans="1:18" x14ac:dyDescent="0.55000000000000004">
      <c r="A468" s="18" t="s">
        <v>346</v>
      </c>
      <c r="B468" s="19" t="str">
        <f>VLOOKUP($A468,'MG Universe'!$A$2:$R$9994,2)</f>
        <v>VF Corp</v>
      </c>
      <c r="C468" s="19" t="str">
        <f>VLOOKUP($A468,'MG Universe'!$A$2:$R$9994,3)</f>
        <v>B+</v>
      </c>
      <c r="D468" s="19" t="str">
        <f>VLOOKUP($A468,'MG Universe'!$A$2:$R$9994,4)</f>
        <v>E</v>
      </c>
      <c r="E468" s="19" t="str">
        <f>VLOOKUP($A468,'MG Universe'!$A$2:$R$9994,5)</f>
        <v>F</v>
      </c>
      <c r="F468" s="20" t="str">
        <f>VLOOKUP($A468,'MG Universe'!$A$2:$R$9994,6)</f>
        <v>EF</v>
      </c>
      <c r="G468" s="103">
        <f>VLOOKUP($A468,'MG Universe'!$A$2:$R$9994,7)</f>
        <v>42401</v>
      </c>
      <c r="H468" s="22">
        <f>VLOOKUP($A468,'MG Universe'!$A$2:$R$9994,8)</f>
        <v>86.11</v>
      </c>
      <c r="I468" s="22">
        <f>VLOOKUP($A468,'MG Universe'!$A$2:$R$9994,9)</f>
        <v>66.28</v>
      </c>
      <c r="J468" s="23">
        <f>VLOOKUP($A468,'MG Universe'!$A$2:$R$9994,10)</f>
        <v>0.76970000000000005</v>
      </c>
      <c r="K468" s="105">
        <f>VLOOKUP($A468,'MG Universe'!$A$2:$R$9994,11)</f>
        <v>24.92</v>
      </c>
      <c r="L468" s="23">
        <f>VLOOKUP($A468,'MG Universe'!$A$2:$R$9994,12)</f>
        <v>2.23E-2</v>
      </c>
      <c r="M468" s="106">
        <f>VLOOKUP($A468,'MG Universe'!$A$2:$R$9994,13)</f>
        <v>0.7</v>
      </c>
      <c r="N468" s="107">
        <f>VLOOKUP($A468,'MG Universe'!$A$2:$R$9994,14)</f>
        <v>1.77</v>
      </c>
      <c r="O468" s="22">
        <f>VLOOKUP($A468,'MG Universe'!$A$2:$R$9994,15)</f>
        <v>-0.82</v>
      </c>
      <c r="P468" s="23">
        <f>VLOOKUP($A468,'MG Universe'!$A$2:$R$9994,16)</f>
        <v>8.2100000000000006E-2</v>
      </c>
      <c r="Q468" s="109">
        <f>VLOOKUP($A468,'MG Universe'!$A$2:$R$9994,17)</f>
        <v>20</v>
      </c>
      <c r="R468" s="22">
        <f>VLOOKUP($A468,'MG Universe'!$A$2:$R$9994,18)</f>
        <v>29.6</v>
      </c>
    </row>
    <row r="469" spans="1:18" x14ac:dyDescent="0.55000000000000004">
      <c r="A469" s="18" t="s">
        <v>461</v>
      </c>
      <c r="B469" s="19" t="str">
        <f>VLOOKUP($A469,'MG Universe'!$A$2:$R$9994,2)</f>
        <v>Viacom, Inc.</v>
      </c>
      <c r="C469" s="19" t="str">
        <f>VLOOKUP($A469,'MG Universe'!$A$2:$R$9994,3)</f>
        <v>C</v>
      </c>
      <c r="D469" s="19" t="str">
        <f>VLOOKUP($A469,'MG Universe'!$A$2:$R$9994,4)</f>
        <v>S</v>
      </c>
      <c r="E469" s="19" t="str">
        <f>VLOOKUP($A469,'MG Universe'!$A$2:$R$9994,5)</f>
        <v>U</v>
      </c>
      <c r="F469" s="20" t="str">
        <f>VLOOKUP($A469,'MG Universe'!$A$2:$R$9994,6)</f>
        <v>SU</v>
      </c>
      <c r="G469" s="103">
        <f>VLOOKUP($A469,'MG Universe'!$A$2:$R$9994,7)</f>
        <v>42009</v>
      </c>
      <c r="H469" s="22">
        <f>VLOOKUP($A469,'MG Universe'!$A$2:$R$9994,8)</f>
        <v>158.81</v>
      </c>
      <c r="I469" s="22">
        <f>VLOOKUP($A469,'MG Universe'!$A$2:$R$9994,9)</f>
        <v>37.479999999999997</v>
      </c>
      <c r="J469" s="23">
        <f>VLOOKUP($A469,'MG Universe'!$A$2:$R$9994,10)</f>
        <v>0.23599999999999999</v>
      </c>
      <c r="K469" s="105">
        <f>VLOOKUP($A469,'MG Universe'!$A$2:$R$9994,11)</f>
        <v>8.35</v>
      </c>
      <c r="L469" s="23">
        <f>VLOOKUP($A469,'MG Universe'!$A$2:$R$9994,12)</f>
        <v>4.2700000000000002E-2</v>
      </c>
      <c r="M469" s="106">
        <f>VLOOKUP($A469,'MG Universe'!$A$2:$R$9994,13)</f>
        <v>1.3</v>
      </c>
      <c r="N469" s="107">
        <f>VLOOKUP($A469,'MG Universe'!$A$2:$R$9994,14)</f>
        <v>1.33</v>
      </c>
      <c r="O469" s="22">
        <f>VLOOKUP($A469,'MG Universe'!$A$2:$R$9994,15)</f>
        <v>-33.18</v>
      </c>
      <c r="P469" s="23">
        <f>VLOOKUP($A469,'MG Universe'!$A$2:$R$9994,16)</f>
        <v>-8.0000000000000004E-4</v>
      </c>
      <c r="Q469" s="109">
        <f>VLOOKUP($A469,'MG Universe'!$A$2:$R$9994,17)</f>
        <v>0</v>
      </c>
      <c r="R469" s="22">
        <f>VLOOKUP($A469,'MG Universe'!$A$2:$R$9994,18)</f>
        <v>0</v>
      </c>
    </row>
    <row r="470" spans="1:18" x14ac:dyDescent="0.55000000000000004">
      <c r="A470" s="18" t="s">
        <v>207</v>
      </c>
      <c r="B470" s="19" t="str">
        <f>VLOOKUP($A470,'MG Universe'!$A$2:$R$9994,2)</f>
        <v>Valero Energy Corporation</v>
      </c>
      <c r="C470" s="19" t="str">
        <f>VLOOKUP($A470,'MG Universe'!$A$2:$R$9994,3)</f>
        <v>B</v>
      </c>
      <c r="D470" s="19" t="str">
        <f>VLOOKUP($A470,'MG Universe'!$A$2:$R$9994,4)</f>
        <v>E</v>
      </c>
      <c r="E470" s="19" t="str">
        <f>VLOOKUP($A470,'MG Universe'!$A$2:$R$9994,5)</f>
        <v>U</v>
      </c>
      <c r="F470" s="20" t="str">
        <f>VLOOKUP($A470,'MG Universe'!$A$2:$R$9994,6)</f>
        <v>EU</v>
      </c>
      <c r="G470" s="103">
        <f>VLOOKUP($A470,'MG Universe'!$A$2:$R$9994,7)</f>
        <v>42410</v>
      </c>
      <c r="H470" s="22">
        <f>VLOOKUP($A470,'MG Universe'!$A$2:$R$9994,8)</f>
        <v>250.51</v>
      </c>
      <c r="I470" s="22">
        <f>VLOOKUP($A470,'MG Universe'!$A$2:$R$9994,9)</f>
        <v>62.1</v>
      </c>
      <c r="J470" s="23">
        <f>VLOOKUP($A470,'MG Universe'!$A$2:$R$9994,10)</f>
        <v>0.24790000000000001</v>
      </c>
      <c r="K470" s="105">
        <f>VLOOKUP($A470,'MG Universe'!$A$2:$R$9994,11)</f>
        <v>9.5399999999999991</v>
      </c>
      <c r="L470" s="23">
        <f>VLOOKUP($A470,'MG Universe'!$A$2:$R$9994,12)</f>
        <v>3.8600000000000002E-2</v>
      </c>
      <c r="M470" s="106">
        <f>VLOOKUP($A470,'MG Universe'!$A$2:$R$9994,13)</f>
        <v>2</v>
      </c>
      <c r="N470" s="107">
        <f>VLOOKUP($A470,'MG Universe'!$A$2:$R$9994,14)</f>
        <v>3.39</v>
      </c>
      <c r="O470" s="22">
        <f>VLOOKUP($A470,'MG Universe'!$A$2:$R$9994,15)</f>
        <v>35.130000000000003</v>
      </c>
      <c r="P470" s="23">
        <f>VLOOKUP($A470,'MG Universe'!$A$2:$R$9994,16)</f>
        <v>5.1999999999999998E-3</v>
      </c>
      <c r="Q470" s="109">
        <f>VLOOKUP($A470,'MG Universe'!$A$2:$R$9994,17)</f>
        <v>6</v>
      </c>
      <c r="R470" s="22">
        <f>VLOOKUP($A470,'MG Universe'!$A$2:$R$9994,18)</f>
        <v>46.53</v>
      </c>
    </row>
    <row r="471" spans="1:18" x14ac:dyDescent="0.55000000000000004">
      <c r="A471" s="18" t="s">
        <v>1139</v>
      </c>
      <c r="B471" s="19" t="str">
        <f>VLOOKUP($A471,'MG Universe'!$A$2:$R$9994,2)</f>
        <v>Vulcan Materials Company</v>
      </c>
      <c r="C471" s="19" t="str">
        <f>VLOOKUP($A471,'MG Universe'!$A$2:$R$9994,3)</f>
        <v>F</v>
      </c>
      <c r="D471" s="19" t="str">
        <f>VLOOKUP($A471,'MG Universe'!$A$2:$R$9994,4)</f>
        <v>S</v>
      </c>
      <c r="E471" s="19" t="str">
        <f>VLOOKUP($A471,'MG Universe'!$A$2:$R$9994,5)</f>
        <v>O</v>
      </c>
      <c r="F471" s="20" t="str">
        <f>VLOOKUP($A471,'MG Universe'!$A$2:$R$9994,6)</f>
        <v>SO</v>
      </c>
      <c r="G471" s="103">
        <f>VLOOKUP($A471,'MG Universe'!$A$2:$R$9994,7)</f>
        <v>42144</v>
      </c>
      <c r="H471" s="22">
        <f>VLOOKUP($A471,'MG Universe'!$A$2:$R$9994,8)</f>
        <v>35.450000000000003</v>
      </c>
      <c r="I471" s="22">
        <f>VLOOKUP($A471,'MG Universe'!$A$2:$R$9994,9)</f>
        <v>102.24</v>
      </c>
      <c r="J471" s="23">
        <f>VLOOKUP($A471,'MG Universe'!$A$2:$R$9994,10)</f>
        <v>2.8841000000000001</v>
      </c>
      <c r="K471" s="105">
        <f>VLOOKUP($A471,'MG Universe'!$A$2:$R$9994,11)</f>
        <v>111.13</v>
      </c>
      <c r="L471" s="23">
        <f>VLOOKUP($A471,'MG Universe'!$A$2:$R$9994,12)</f>
        <v>7.7999999999999996E-3</v>
      </c>
      <c r="M471" s="106">
        <f>VLOOKUP($A471,'MG Universe'!$A$2:$R$9994,13)</f>
        <v>1.4</v>
      </c>
      <c r="N471" s="107">
        <f>VLOOKUP($A471,'MG Universe'!$A$2:$R$9994,14)</f>
        <v>1.7</v>
      </c>
      <c r="O471" s="22">
        <f>VLOOKUP($A471,'MG Universe'!$A$2:$R$9994,15)</f>
        <v>8.69</v>
      </c>
      <c r="P471" s="23">
        <f>VLOOKUP($A471,'MG Universe'!$A$2:$R$9994,16)</f>
        <v>0.51319999999999999</v>
      </c>
      <c r="Q471" s="109">
        <f>VLOOKUP($A471,'MG Universe'!$A$2:$R$9994,17)</f>
        <v>0</v>
      </c>
      <c r="R471" s="22">
        <f>VLOOKUP($A471,'MG Universe'!$A$2:$R$9994,18)</f>
        <v>0</v>
      </c>
    </row>
    <row r="472" spans="1:18" x14ac:dyDescent="0.55000000000000004">
      <c r="A472" s="18" t="s">
        <v>620</v>
      </c>
      <c r="B472" s="19" t="str">
        <f>VLOOKUP($A472,'MG Universe'!$A$2:$R$9994,2)</f>
        <v>Vornado Realty Trust</v>
      </c>
      <c r="C472" s="19" t="str">
        <f>VLOOKUP($A472,'MG Universe'!$A$2:$R$9994,3)</f>
        <v>C-</v>
      </c>
      <c r="D472" s="19" t="str">
        <f>VLOOKUP($A472,'MG Universe'!$A$2:$R$9994,4)</f>
        <v>S</v>
      </c>
      <c r="E472" s="19" t="str">
        <f>VLOOKUP($A472,'MG Universe'!$A$2:$R$9994,5)</f>
        <v>F</v>
      </c>
      <c r="F472" s="20" t="str">
        <f>VLOOKUP($A472,'MG Universe'!$A$2:$R$9994,6)</f>
        <v>SF</v>
      </c>
      <c r="G472" s="103">
        <f>VLOOKUP($A472,'MG Universe'!$A$2:$R$9994,7)</f>
        <v>42142</v>
      </c>
      <c r="H472" s="22">
        <f>VLOOKUP($A472,'MG Universe'!$A$2:$R$9994,8)</f>
        <v>82.74</v>
      </c>
      <c r="I472" s="22">
        <f>VLOOKUP($A472,'MG Universe'!$A$2:$R$9994,9)</f>
        <v>90.39</v>
      </c>
      <c r="J472" s="23">
        <f>VLOOKUP($A472,'MG Universe'!$A$2:$R$9994,10)</f>
        <v>1.0925</v>
      </c>
      <c r="K472" s="105">
        <f>VLOOKUP($A472,'MG Universe'!$A$2:$R$9994,11)</f>
        <v>24.7</v>
      </c>
      <c r="L472" s="23">
        <f>VLOOKUP($A472,'MG Universe'!$A$2:$R$9994,12)</f>
        <v>2.7900000000000001E-2</v>
      </c>
      <c r="M472" s="106">
        <f>VLOOKUP($A472,'MG Universe'!$A$2:$R$9994,13)</f>
        <v>1</v>
      </c>
      <c r="N472" s="107" t="str">
        <f>VLOOKUP($A472,'MG Universe'!$A$2:$R$9994,14)</f>
        <v>N/A</v>
      </c>
      <c r="O472" s="22" t="str">
        <f>VLOOKUP($A472,'MG Universe'!$A$2:$R$9994,15)</f>
        <v>N/A</v>
      </c>
      <c r="P472" s="23">
        <f>VLOOKUP($A472,'MG Universe'!$A$2:$R$9994,16)</f>
        <v>8.1000000000000003E-2</v>
      </c>
      <c r="Q472" s="109">
        <f>VLOOKUP($A472,'MG Universe'!$A$2:$R$9994,17)</f>
        <v>0</v>
      </c>
      <c r="R472" s="22">
        <f>VLOOKUP($A472,'MG Universe'!$A$2:$R$9994,18)</f>
        <v>0</v>
      </c>
    </row>
    <row r="473" spans="1:18" x14ac:dyDescent="0.55000000000000004">
      <c r="A473" s="18" t="s">
        <v>1005</v>
      </c>
      <c r="B473" s="19" t="str">
        <f>VLOOKUP($A473,'MG Universe'!$A$2:$R$9994,2)</f>
        <v>Verisign, Inc.</v>
      </c>
      <c r="C473" s="19" t="str">
        <f>VLOOKUP($A473,'MG Universe'!$A$2:$R$9994,3)</f>
        <v>D+</v>
      </c>
      <c r="D473" s="19" t="str">
        <f>VLOOKUP($A473,'MG Universe'!$A$2:$R$9994,4)</f>
        <v>S</v>
      </c>
      <c r="E473" s="19" t="str">
        <f>VLOOKUP($A473,'MG Universe'!$A$2:$R$9994,5)</f>
        <v>F</v>
      </c>
      <c r="F473" s="20" t="str">
        <f>VLOOKUP($A473,'MG Universe'!$A$2:$R$9994,6)</f>
        <v>SF</v>
      </c>
      <c r="G473" s="103">
        <f>VLOOKUP($A473,'MG Universe'!$A$2:$R$9994,7)</f>
        <v>42164</v>
      </c>
      <c r="H473" s="22">
        <f>VLOOKUP($A473,'MG Universe'!$A$2:$R$9994,8)</f>
        <v>80.2</v>
      </c>
      <c r="I473" s="22">
        <f>VLOOKUP($A473,'MG Universe'!$A$2:$R$9994,9)</f>
        <v>87.54</v>
      </c>
      <c r="J473" s="23">
        <f>VLOOKUP($A473,'MG Universe'!$A$2:$R$9994,10)</f>
        <v>1.0914999999999999</v>
      </c>
      <c r="K473" s="105">
        <f>VLOOKUP($A473,'MG Universe'!$A$2:$R$9994,11)</f>
        <v>33.799999999999997</v>
      </c>
      <c r="L473" s="23" t="str">
        <f>VLOOKUP($A473,'MG Universe'!$A$2:$R$9994,12)</f>
        <v>N/A</v>
      </c>
      <c r="M473" s="106">
        <f>VLOOKUP($A473,'MG Universe'!$A$2:$R$9994,13)</f>
        <v>1.3</v>
      </c>
      <c r="N473" s="107">
        <f>VLOOKUP($A473,'MG Universe'!$A$2:$R$9994,14)</f>
        <v>1.01</v>
      </c>
      <c r="O473" s="22">
        <f>VLOOKUP($A473,'MG Universe'!$A$2:$R$9994,15)</f>
        <v>-12.07</v>
      </c>
      <c r="P473" s="23">
        <f>VLOOKUP($A473,'MG Universe'!$A$2:$R$9994,16)</f>
        <v>0.1265</v>
      </c>
      <c r="Q473" s="109">
        <f>VLOOKUP($A473,'MG Universe'!$A$2:$R$9994,17)</f>
        <v>0</v>
      </c>
      <c r="R473" s="22">
        <f>VLOOKUP($A473,'MG Universe'!$A$2:$R$9994,18)</f>
        <v>0</v>
      </c>
    </row>
    <row r="474" spans="1:18" x14ac:dyDescent="0.55000000000000004">
      <c r="A474" s="18" t="s">
        <v>1141</v>
      </c>
      <c r="B474" s="19" t="str">
        <f>VLOOKUP($A474,'MG Universe'!$A$2:$R$9994,2)</f>
        <v>Vertex Pharmaceuticals Incorporated</v>
      </c>
      <c r="C474" s="19" t="str">
        <f>VLOOKUP($A474,'MG Universe'!$A$2:$R$9994,3)</f>
        <v>F</v>
      </c>
      <c r="D474" s="19" t="str">
        <f>VLOOKUP($A474,'MG Universe'!$A$2:$R$9994,4)</f>
        <v>S</v>
      </c>
      <c r="E474" s="19" t="str">
        <f>VLOOKUP($A474,'MG Universe'!$A$2:$R$9994,5)</f>
        <v>O</v>
      </c>
      <c r="F474" s="20" t="str">
        <f>VLOOKUP($A474,'MG Universe'!$A$2:$R$9994,6)</f>
        <v>SO</v>
      </c>
      <c r="G474" s="103">
        <f>VLOOKUP($A474,'MG Universe'!$A$2:$R$9994,7)</f>
        <v>42202</v>
      </c>
      <c r="H474" s="22">
        <f>VLOOKUP($A474,'MG Universe'!$A$2:$R$9994,8)</f>
        <v>0</v>
      </c>
      <c r="I474" s="22">
        <f>VLOOKUP($A474,'MG Universe'!$A$2:$R$9994,9)</f>
        <v>92.52</v>
      </c>
      <c r="J474" s="23" t="str">
        <f>VLOOKUP($A474,'MG Universe'!$A$2:$R$9994,10)</f>
        <v>N/A</v>
      </c>
      <c r="K474" s="105" t="str">
        <f>VLOOKUP($A474,'MG Universe'!$A$2:$R$9994,11)</f>
        <v>N/A</v>
      </c>
      <c r="L474" s="23" t="str">
        <f>VLOOKUP($A474,'MG Universe'!$A$2:$R$9994,12)</f>
        <v>N/A</v>
      </c>
      <c r="M474" s="106">
        <f>VLOOKUP($A474,'MG Universe'!$A$2:$R$9994,13)</f>
        <v>0.7</v>
      </c>
      <c r="N474" s="107">
        <f>VLOOKUP($A474,'MG Universe'!$A$2:$R$9994,14)</f>
        <v>4.49</v>
      </c>
      <c r="O474" s="22">
        <f>VLOOKUP($A474,'MG Universe'!$A$2:$R$9994,15)</f>
        <v>0.7</v>
      </c>
      <c r="P474" s="23">
        <f>VLOOKUP($A474,'MG Universe'!$A$2:$R$9994,16)</f>
        <v>-0.28339999999999999</v>
      </c>
      <c r="Q474" s="109">
        <f>VLOOKUP($A474,'MG Universe'!$A$2:$R$9994,17)</f>
        <v>0</v>
      </c>
      <c r="R474" s="22">
        <f>VLOOKUP($A474,'MG Universe'!$A$2:$R$9994,18)</f>
        <v>0</v>
      </c>
    </row>
    <row r="475" spans="1:18" x14ac:dyDescent="0.55000000000000004">
      <c r="A475" s="18" t="s">
        <v>622</v>
      </c>
      <c r="B475" s="19" t="str">
        <f>VLOOKUP($A475,'MG Universe'!$A$2:$R$9994,2)</f>
        <v>Ventas, Inc.</v>
      </c>
      <c r="C475" s="19" t="str">
        <f>VLOOKUP($A475,'MG Universe'!$A$2:$R$9994,3)</f>
        <v>C-</v>
      </c>
      <c r="D475" s="19" t="str">
        <f>VLOOKUP($A475,'MG Universe'!$A$2:$R$9994,4)</f>
        <v>S</v>
      </c>
      <c r="E475" s="19" t="str">
        <f>VLOOKUP($A475,'MG Universe'!$A$2:$R$9994,5)</f>
        <v>F</v>
      </c>
      <c r="F475" s="20" t="str">
        <f>VLOOKUP($A475,'MG Universe'!$A$2:$R$9994,6)</f>
        <v>SF</v>
      </c>
      <c r="G475" s="103">
        <f>VLOOKUP($A475,'MG Universe'!$A$2:$R$9994,7)</f>
        <v>42214</v>
      </c>
      <c r="H475" s="22">
        <f>VLOOKUP($A475,'MG Universe'!$A$2:$R$9994,8)</f>
        <v>60.68</v>
      </c>
      <c r="I475" s="22">
        <f>VLOOKUP($A475,'MG Universe'!$A$2:$R$9994,9)</f>
        <v>58.4</v>
      </c>
      <c r="J475" s="23">
        <f>VLOOKUP($A475,'MG Universe'!$A$2:$R$9994,10)</f>
        <v>0.96240000000000003</v>
      </c>
      <c r="K475" s="105">
        <f>VLOOKUP($A475,'MG Universe'!$A$2:$R$9994,11)</f>
        <v>23.27</v>
      </c>
      <c r="L475" s="23">
        <f>VLOOKUP($A475,'MG Universe'!$A$2:$R$9994,12)</f>
        <v>0.05</v>
      </c>
      <c r="M475" s="106">
        <f>VLOOKUP($A475,'MG Universe'!$A$2:$R$9994,13)</f>
        <v>0.3</v>
      </c>
      <c r="N475" s="107">
        <f>VLOOKUP($A475,'MG Universe'!$A$2:$R$9994,14)</f>
        <v>0.39</v>
      </c>
      <c r="O475" s="22">
        <f>VLOOKUP($A475,'MG Universe'!$A$2:$R$9994,15)</f>
        <v>-38.96</v>
      </c>
      <c r="P475" s="23">
        <f>VLOOKUP($A475,'MG Universe'!$A$2:$R$9994,16)</f>
        <v>7.3800000000000004E-2</v>
      </c>
      <c r="Q475" s="109">
        <f>VLOOKUP($A475,'MG Universe'!$A$2:$R$9994,17)</f>
        <v>0</v>
      </c>
      <c r="R475" s="22">
        <f>VLOOKUP($A475,'MG Universe'!$A$2:$R$9994,18)</f>
        <v>0</v>
      </c>
    </row>
    <row r="476" spans="1:18" x14ac:dyDescent="0.55000000000000004">
      <c r="A476" s="18" t="s">
        <v>1007</v>
      </c>
      <c r="B476" s="19" t="str">
        <f>VLOOKUP($A476,'MG Universe'!$A$2:$R$9994,2)</f>
        <v>Verizon Communications Inc.</v>
      </c>
      <c r="C476" s="19" t="str">
        <f>VLOOKUP($A476,'MG Universe'!$A$2:$R$9994,3)</f>
        <v>D+</v>
      </c>
      <c r="D476" s="19" t="str">
        <f>VLOOKUP($A476,'MG Universe'!$A$2:$R$9994,4)</f>
        <v>S</v>
      </c>
      <c r="E476" s="19" t="str">
        <f>VLOOKUP($A476,'MG Universe'!$A$2:$R$9994,5)</f>
        <v>O</v>
      </c>
      <c r="F476" s="20" t="str">
        <f>VLOOKUP($A476,'MG Universe'!$A$2:$R$9994,6)</f>
        <v>SO</v>
      </c>
      <c r="G476" s="103">
        <f>VLOOKUP($A476,'MG Universe'!$A$2:$R$9994,7)</f>
        <v>42067</v>
      </c>
      <c r="H476" s="22">
        <f>VLOOKUP($A476,'MG Universe'!$A$2:$R$9994,8)</f>
        <v>37.76</v>
      </c>
      <c r="I476" s="22">
        <f>VLOOKUP($A476,'MG Universe'!$A$2:$R$9994,9)</f>
        <v>52.1</v>
      </c>
      <c r="J476" s="23">
        <f>VLOOKUP($A476,'MG Universe'!$A$2:$R$9994,10)</f>
        <v>1.3797999999999999</v>
      </c>
      <c r="K476" s="105">
        <f>VLOOKUP($A476,'MG Universe'!$A$2:$R$9994,11)</f>
        <v>24.69</v>
      </c>
      <c r="L476" s="23">
        <f>VLOOKUP($A476,'MG Universe'!$A$2:$R$9994,12)</f>
        <v>4.3400000000000001E-2</v>
      </c>
      <c r="M476" s="106">
        <f>VLOOKUP($A476,'MG Universe'!$A$2:$R$9994,13)</f>
        <v>0.2</v>
      </c>
      <c r="N476" s="107">
        <f>VLOOKUP($A476,'MG Universe'!$A$2:$R$9994,14)</f>
        <v>1.06</v>
      </c>
      <c r="O476" s="22">
        <f>VLOOKUP($A476,'MG Universe'!$A$2:$R$9994,15)</f>
        <v>-45.9</v>
      </c>
      <c r="P476" s="23">
        <f>VLOOKUP($A476,'MG Universe'!$A$2:$R$9994,16)</f>
        <v>8.1000000000000003E-2</v>
      </c>
      <c r="Q476" s="109">
        <f>VLOOKUP($A476,'MG Universe'!$A$2:$R$9994,17)</f>
        <v>0</v>
      </c>
      <c r="R476" s="22">
        <f>VLOOKUP($A476,'MG Universe'!$A$2:$R$9994,18)</f>
        <v>0</v>
      </c>
    </row>
    <row r="477" spans="1:18" x14ac:dyDescent="0.55000000000000004">
      <c r="A477" s="18" t="s">
        <v>463</v>
      </c>
      <c r="B477" s="19" t="str">
        <f>VLOOKUP($A477,'MG Universe'!$A$2:$R$9994,2)</f>
        <v>Waters Corporation</v>
      </c>
      <c r="C477" s="19" t="str">
        <f>VLOOKUP($A477,'MG Universe'!$A$2:$R$9994,3)</f>
        <v>C</v>
      </c>
      <c r="D477" s="19" t="str">
        <f>VLOOKUP($A477,'MG Universe'!$A$2:$R$9994,4)</f>
        <v>E</v>
      </c>
      <c r="E477" s="19" t="str">
        <f>VLOOKUP($A477,'MG Universe'!$A$2:$R$9994,5)</f>
        <v>O</v>
      </c>
      <c r="F477" s="20" t="str">
        <f>VLOOKUP($A477,'MG Universe'!$A$2:$R$9994,6)</f>
        <v>EO</v>
      </c>
      <c r="G477" s="103">
        <f>VLOOKUP($A477,'MG Universe'!$A$2:$R$9994,7)</f>
        <v>42269</v>
      </c>
      <c r="H477" s="22">
        <f>VLOOKUP($A477,'MG Universe'!$A$2:$R$9994,8)</f>
        <v>101.01</v>
      </c>
      <c r="I477" s="22">
        <f>VLOOKUP($A477,'MG Universe'!$A$2:$R$9994,9)</f>
        <v>126.03</v>
      </c>
      <c r="J477" s="23">
        <f>VLOOKUP($A477,'MG Universe'!$A$2:$R$9994,10)</f>
        <v>1.2477</v>
      </c>
      <c r="K477" s="105">
        <f>VLOOKUP($A477,'MG Universe'!$A$2:$R$9994,11)</f>
        <v>23.78</v>
      </c>
      <c r="L477" s="23" t="str">
        <f>VLOOKUP($A477,'MG Universe'!$A$2:$R$9994,12)</f>
        <v>N/A</v>
      </c>
      <c r="M477" s="106">
        <f>VLOOKUP($A477,'MG Universe'!$A$2:$R$9994,13)</f>
        <v>0.9</v>
      </c>
      <c r="N477" s="107">
        <f>VLOOKUP($A477,'MG Universe'!$A$2:$R$9994,14)</f>
        <v>5.5</v>
      </c>
      <c r="O477" s="22">
        <f>VLOOKUP($A477,'MG Universe'!$A$2:$R$9994,15)</f>
        <v>10.93</v>
      </c>
      <c r="P477" s="23">
        <f>VLOOKUP($A477,'MG Universe'!$A$2:$R$9994,16)</f>
        <v>7.6399999999999996E-2</v>
      </c>
      <c r="Q477" s="109">
        <f>VLOOKUP($A477,'MG Universe'!$A$2:$R$9994,17)</f>
        <v>0</v>
      </c>
      <c r="R477" s="22">
        <f>VLOOKUP($A477,'MG Universe'!$A$2:$R$9994,18)</f>
        <v>54.75</v>
      </c>
    </row>
    <row r="478" spans="1:18" x14ac:dyDescent="0.55000000000000004">
      <c r="A478" s="18" t="s">
        <v>823</v>
      </c>
      <c r="B478" s="19" t="str">
        <f>VLOOKUP($A478,'MG Universe'!$A$2:$R$9994,2)</f>
        <v>Walgreens Boots Alliance Inc</v>
      </c>
      <c r="C478" s="19" t="str">
        <f>VLOOKUP($A478,'MG Universe'!$A$2:$R$9994,3)</f>
        <v>D</v>
      </c>
      <c r="D478" s="19" t="str">
        <f>VLOOKUP($A478,'MG Universe'!$A$2:$R$9994,4)</f>
        <v>S</v>
      </c>
      <c r="E478" s="19" t="str">
        <f>VLOOKUP($A478,'MG Universe'!$A$2:$R$9994,5)</f>
        <v>O</v>
      </c>
      <c r="F478" s="20" t="str">
        <f>VLOOKUP($A478,'MG Universe'!$A$2:$R$9994,6)</f>
        <v>SO</v>
      </c>
      <c r="G478" s="103">
        <f>VLOOKUP($A478,'MG Universe'!$A$2:$R$9994,7)</f>
        <v>42134</v>
      </c>
      <c r="H478" s="22">
        <f>VLOOKUP($A478,'MG Universe'!$A$2:$R$9994,8)</f>
        <v>49.63</v>
      </c>
      <c r="I478" s="22">
        <f>VLOOKUP($A478,'MG Universe'!$A$2:$R$9994,9)</f>
        <v>79.459999999999994</v>
      </c>
      <c r="J478" s="23">
        <f>VLOOKUP($A478,'MG Universe'!$A$2:$R$9994,10)</f>
        <v>1.601</v>
      </c>
      <c r="K478" s="105">
        <f>VLOOKUP($A478,'MG Universe'!$A$2:$R$9994,11)</f>
        <v>26.4</v>
      </c>
      <c r="L478" s="23">
        <f>VLOOKUP($A478,'MG Universe'!$A$2:$R$9994,12)</f>
        <v>1.8100000000000002E-2</v>
      </c>
      <c r="M478" s="106">
        <f>VLOOKUP($A478,'MG Universe'!$A$2:$R$9994,13)</f>
        <v>1.1000000000000001</v>
      </c>
      <c r="N478" s="107">
        <f>VLOOKUP($A478,'MG Universe'!$A$2:$R$9994,14)</f>
        <v>1.24</v>
      </c>
      <c r="O478" s="22">
        <f>VLOOKUP($A478,'MG Universe'!$A$2:$R$9994,15)</f>
        <v>-18.8</v>
      </c>
      <c r="P478" s="23">
        <f>VLOOKUP($A478,'MG Universe'!$A$2:$R$9994,16)</f>
        <v>8.9499999999999996E-2</v>
      </c>
      <c r="Q478" s="109">
        <f>VLOOKUP($A478,'MG Universe'!$A$2:$R$9994,17)</f>
        <v>0</v>
      </c>
      <c r="R478" s="22">
        <f>VLOOKUP($A478,'MG Universe'!$A$2:$R$9994,18)</f>
        <v>0</v>
      </c>
    </row>
    <row r="479" spans="1:18" x14ac:dyDescent="0.55000000000000004">
      <c r="A479" s="18" t="s">
        <v>71</v>
      </c>
      <c r="B479" s="19" t="str">
        <f>VLOOKUP($A479,'MG Universe'!$A$2:$R$9994,2)</f>
        <v>Western Digital Corp</v>
      </c>
      <c r="C479" s="19" t="str">
        <f>VLOOKUP($A479,'MG Universe'!$A$2:$R$9994,3)</f>
        <v>A</v>
      </c>
      <c r="D479" s="19" t="str">
        <f>VLOOKUP($A479,'MG Universe'!$A$2:$R$9994,4)</f>
        <v>D</v>
      </c>
      <c r="E479" s="19" t="str">
        <f>VLOOKUP($A479,'MG Universe'!$A$2:$R$9994,5)</f>
        <v>U</v>
      </c>
      <c r="F479" s="20" t="str">
        <f>VLOOKUP($A479,'MG Universe'!$A$2:$R$9994,6)</f>
        <v>DU</v>
      </c>
      <c r="G479" s="103">
        <f>VLOOKUP($A479,'MG Universe'!$A$2:$R$9994,7)</f>
        <v>42411</v>
      </c>
      <c r="H479" s="22">
        <f>VLOOKUP($A479,'MG Universe'!$A$2:$R$9994,8)</f>
        <v>71.58</v>
      </c>
      <c r="I479" s="22">
        <f>VLOOKUP($A479,'MG Universe'!$A$2:$R$9994,9)</f>
        <v>47.35</v>
      </c>
      <c r="J479" s="23">
        <f>VLOOKUP($A479,'MG Universe'!$A$2:$R$9994,10)</f>
        <v>0.66149999999999998</v>
      </c>
      <c r="K479" s="105">
        <f>VLOOKUP($A479,'MG Universe'!$A$2:$R$9994,11)</f>
        <v>8.67</v>
      </c>
      <c r="L479" s="23">
        <f>VLOOKUP($A479,'MG Universe'!$A$2:$R$9994,12)</f>
        <v>4.2200000000000001E-2</v>
      </c>
      <c r="M479" s="106">
        <f>VLOOKUP($A479,'MG Universe'!$A$2:$R$9994,13)</f>
        <v>1.4</v>
      </c>
      <c r="N479" s="107">
        <f>VLOOKUP($A479,'MG Universe'!$A$2:$R$9994,14)</f>
        <v>2.76</v>
      </c>
      <c r="O479" s="22">
        <f>VLOOKUP($A479,'MG Universe'!$A$2:$R$9994,15)</f>
        <v>12.99</v>
      </c>
      <c r="P479" s="23">
        <f>VLOOKUP($A479,'MG Universe'!$A$2:$R$9994,16)</f>
        <v>8.9999999999999998E-4</v>
      </c>
      <c r="Q479" s="109">
        <f>VLOOKUP($A479,'MG Universe'!$A$2:$R$9994,17)</f>
        <v>4</v>
      </c>
      <c r="R479" s="22">
        <f>VLOOKUP($A479,'MG Universe'!$A$2:$R$9994,18)</f>
        <v>64.83</v>
      </c>
    </row>
    <row r="480" spans="1:18" x14ac:dyDescent="0.55000000000000004">
      <c r="A480" s="18" t="s">
        <v>1009</v>
      </c>
      <c r="B480" s="19" t="str">
        <f>VLOOKUP($A480,'MG Universe'!$A$2:$R$9994,2)</f>
        <v>WEC Energy Group Inc</v>
      </c>
      <c r="C480" s="19" t="str">
        <f>VLOOKUP($A480,'MG Universe'!$A$2:$R$9994,3)</f>
        <v>D+</v>
      </c>
      <c r="D480" s="19" t="str">
        <f>VLOOKUP($A480,'MG Universe'!$A$2:$R$9994,4)</f>
        <v>S</v>
      </c>
      <c r="E480" s="19" t="str">
        <f>VLOOKUP($A480,'MG Universe'!$A$2:$R$9994,5)</f>
        <v>F</v>
      </c>
      <c r="F480" s="20" t="str">
        <f>VLOOKUP($A480,'MG Universe'!$A$2:$R$9994,6)</f>
        <v>SF</v>
      </c>
      <c r="G480" s="103">
        <f>VLOOKUP($A480,'MG Universe'!$A$2:$R$9994,7)</f>
        <v>42104</v>
      </c>
      <c r="H480" s="22">
        <f>VLOOKUP($A480,'MG Universe'!$A$2:$R$9994,8)</f>
        <v>54.6</v>
      </c>
      <c r="I480" s="22">
        <f>VLOOKUP($A480,'MG Universe'!$A$2:$R$9994,9)</f>
        <v>56.23</v>
      </c>
      <c r="J480" s="23">
        <f>VLOOKUP($A480,'MG Universe'!$A$2:$R$9994,10)</f>
        <v>1.0299</v>
      </c>
      <c r="K480" s="105">
        <f>VLOOKUP($A480,'MG Universe'!$A$2:$R$9994,11)</f>
        <v>23.14</v>
      </c>
      <c r="L480" s="23">
        <f>VLOOKUP($A480,'MG Universe'!$A$2:$R$9994,12)</f>
        <v>3.5200000000000002E-2</v>
      </c>
      <c r="M480" s="106">
        <f>VLOOKUP($A480,'MG Universe'!$A$2:$R$9994,13)</f>
        <v>0.1</v>
      </c>
      <c r="N480" s="107">
        <f>VLOOKUP($A480,'MG Universe'!$A$2:$R$9994,14)</f>
        <v>0.92</v>
      </c>
      <c r="O480" s="22">
        <f>VLOOKUP($A480,'MG Universe'!$A$2:$R$9994,15)</f>
        <v>-40.53</v>
      </c>
      <c r="P480" s="23">
        <f>VLOOKUP($A480,'MG Universe'!$A$2:$R$9994,16)</f>
        <v>7.3200000000000001E-2</v>
      </c>
      <c r="Q480" s="109">
        <f>VLOOKUP($A480,'MG Universe'!$A$2:$R$9994,17)</f>
        <v>0</v>
      </c>
      <c r="R480" s="22">
        <f>VLOOKUP($A480,'MG Universe'!$A$2:$R$9994,18)</f>
        <v>0</v>
      </c>
    </row>
    <row r="481" spans="1:18" x14ac:dyDescent="0.55000000000000004">
      <c r="A481" s="18" t="s">
        <v>73</v>
      </c>
      <c r="B481" s="19" t="str">
        <f>VLOOKUP($A481,'MG Universe'!$A$2:$R$9994,2)</f>
        <v>Wells Fargo &amp; Co</v>
      </c>
      <c r="C481" s="19" t="str">
        <f>VLOOKUP($A481,'MG Universe'!$A$2:$R$9994,3)</f>
        <v>A</v>
      </c>
      <c r="D481" s="19" t="str">
        <f>VLOOKUP($A481,'MG Universe'!$A$2:$R$9994,4)</f>
        <v>D</v>
      </c>
      <c r="E481" s="19" t="str">
        <f>VLOOKUP($A481,'MG Universe'!$A$2:$R$9994,5)</f>
        <v>U</v>
      </c>
      <c r="F481" s="20" t="str">
        <f>VLOOKUP($A481,'MG Universe'!$A$2:$R$9994,6)</f>
        <v>DU</v>
      </c>
      <c r="G481" s="103">
        <f>VLOOKUP($A481,'MG Universe'!$A$2:$R$9994,7)</f>
        <v>42349</v>
      </c>
      <c r="H481" s="22">
        <f>VLOOKUP($A481,'MG Universe'!$A$2:$R$9994,8)</f>
        <v>127.37</v>
      </c>
      <c r="I481" s="22">
        <f>VLOOKUP($A481,'MG Universe'!$A$2:$R$9994,9)</f>
        <v>49.56</v>
      </c>
      <c r="J481" s="23">
        <f>VLOOKUP($A481,'MG Universe'!$A$2:$R$9994,10)</f>
        <v>0.3891</v>
      </c>
      <c r="K481" s="105">
        <f>VLOOKUP($A481,'MG Universe'!$A$2:$R$9994,11)</f>
        <v>12.81</v>
      </c>
      <c r="L481" s="23">
        <f>VLOOKUP($A481,'MG Universe'!$A$2:$R$9994,12)</f>
        <v>3.0300000000000001E-2</v>
      </c>
      <c r="M481" s="106">
        <f>VLOOKUP($A481,'MG Universe'!$A$2:$R$9994,13)</f>
        <v>0.9</v>
      </c>
      <c r="N481" s="107" t="str">
        <f>VLOOKUP($A481,'MG Universe'!$A$2:$R$9994,14)</f>
        <v>N/A</v>
      </c>
      <c r="O481" s="22" t="str">
        <f>VLOOKUP($A481,'MG Universe'!$A$2:$R$9994,15)</f>
        <v>N/A</v>
      </c>
      <c r="P481" s="23">
        <f>VLOOKUP($A481,'MG Universe'!$A$2:$R$9994,16)</f>
        <v>2.1499999999999998E-2</v>
      </c>
      <c r="Q481" s="109">
        <f>VLOOKUP($A481,'MG Universe'!$A$2:$R$9994,17)</f>
        <v>5</v>
      </c>
      <c r="R481" s="22">
        <f>VLOOKUP($A481,'MG Universe'!$A$2:$R$9994,18)</f>
        <v>55.37</v>
      </c>
    </row>
    <row r="482" spans="1:18" x14ac:dyDescent="0.55000000000000004">
      <c r="A482" s="18" t="s">
        <v>289</v>
      </c>
      <c r="B482" s="19" t="str">
        <f>VLOOKUP($A482,'MG Universe'!$A$2:$R$9994,2)</f>
        <v>Whole Foods Market, Inc.</v>
      </c>
      <c r="C482" s="19" t="str">
        <f>VLOOKUP($A482,'MG Universe'!$A$2:$R$9994,3)</f>
        <v>B-</v>
      </c>
      <c r="D482" s="19" t="str">
        <f>VLOOKUP($A482,'MG Universe'!$A$2:$R$9994,4)</f>
        <v>E</v>
      </c>
      <c r="E482" s="19" t="str">
        <f>VLOOKUP($A482,'MG Universe'!$A$2:$R$9994,5)</f>
        <v>U</v>
      </c>
      <c r="F482" s="20" t="str">
        <f>VLOOKUP($A482,'MG Universe'!$A$2:$R$9994,6)</f>
        <v>EU</v>
      </c>
      <c r="G482" s="103">
        <f>VLOOKUP($A482,'MG Universe'!$A$2:$R$9994,7)</f>
        <v>42306</v>
      </c>
      <c r="H482" s="22">
        <f>VLOOKUP($A482,'MG Universe'!$A$2:$R$9994,8)</f>
        <v>57.45</v>
      </c>
      <c r="I482" s="22">
        <f>VLOOKUP($A482,'MG Universe'!$A$2:$R$9994,9)</f>
        <v>32.75</v>
      </c>
      <c r="J482" s="23">
        <f>VLOOKUP($A482,'MG Universe'!$A$2:$R$9994,10)</f>
        <v>0.57010000000000005</v>
      </c>
      <c r="K482" s="105">
        <f>VLOOKUP($A482,'MG Universe'!$A$2:$R$9994,11)</f>
        <v>21.98</v>
      </c>
      <c r="L482" s="23">
        <f>VLOOKUP($A482,'MG Universe'!$A$2:$R$9994,12)</f>
        <v>1.6500000000000001E-2</v>
      </c>
      <c r="M482" s="106">
        <f>VLOOKUP($A482,'MG Universe'!$A$2:$R$9994,13)</f>
        <v>0.7</v>
      </c>
      <c r="N482" s="107">
        <f>VLOOKUP($A482,'MG Universe'!$A$2:$R$9994,14)</f>
        <v>1.44</v>
      </c>
      <c r="O482" s="22">
        <f>VLOOKUP($A482,'MG Universe'!$A$2:$R$9994,15)</f>
        <v>-0.45</v>
      </c>
      <c r="P482" s="23">
        <f>VLOOKUP($A482,'MG Universe'!$A$2:$R$9994,16)</f>
        <v>6.7400000000000002E-2</v>
      </c>
      <c r="Q482" s="109">
        <f>VLOOKUP($A482,'MG Universe'!$A$2:$R$9994,17)</f>
        <v>5</v>
      </c>
      <c r="R482" s="22">
        <f>VLOOKUP($A482,'MG Universe'!$A$2:$R$9994,18)</f>
        <v>20.54</v>
      </c>
    </row>
    <row r="483" spans="1:18" x14ac:dyDescent="0.55000000000000004">
      <c r="A483" s="18" t="s">
        <v>624</v>
      </c>
      <c r="B483" s="19" t="str">
        <f>VLOOKUP($A483,'MG Universe'!$A$2:$R$9994,2)</f>
        <v>Whirlpool Corporation</v>
      </c>
      <c r="C483" s="19" t="str">
        <f>VLOOKUP($A483,'MG Universe'!$A$2:$R$9994,3)</f>
        <v>C-</v>
      </c>
      <c r="D483" s="19" t="str">
        <f>VLOOKUP($A483,'MG Universe'!$A$2:$R$9994,4)</f>
        <v>S</v>
      </c>
      <c r="E483" s="19" t="str">
        <f>VLOOKUP($A483,'MG Universe'!$A$2:$R$9994,5)</f>
        <v>U</v>
      </c>
      <c r="F483" s="20" t="str">
        <f>VLOOKUP($A483,'MG Universe'!$A$2:$R$9994,6)</f>
        <v>SU</v>
      </c>
      <c r="G483" s="103">
        <f>VLOOKUP($A483,'MG Universe'!$A$2:$R$9994,7)</f>
        <v>42222</v>
      </c>
      <c r="H483" s="22">
        <f>VLOOKUP($A483,'MG Universe'!$A$2:$R$9994,8)</f>
        <v>225.65</v>
      </c>
      <c r="I483" s="22">
        <f>VLOOKUP($A483,'MG Universe'!$A$2:$R$9994,9)</f>
        <v>158.82</v>
      </c>
      <c r="J483" s="23">
        <f>VLOOKUP($A483,'MG Universe'!$A$2:$R$9994,10)</f>
        <v>0.70379999999999998</v>
      </c>
      <c r="K483" s="105">
        <f>VLOOKUP($A483,'MG Universe'!$A$2:$R$9994,11)</f>
        <v>17.399999999999999</v>
      </c>
      <c r="L483" s="23">
        <f>VLOOKUP($A483,'MG Universe'!$A$2:$R$9994,12)</f>
        <v>2.2700000000000001E-2</v>
      </c>
      <c r="M483" s="106">
        <f>VLOOKUP($A483,'MG Universe'!$A$2:$R$9994,13)</f>
        <v>1.7</v>
      </c>
      <c r="N483" s="107">
        <f>VLOOKUP($A483,'MG Universe'!$A$2:$R$9994,14)</f>
        <v>1.01</v>
      </c>
      <c r="O483" s="22">
        <f>VLOOKUP($A483,'MG Universe'!$A$2:$R$9994,15)</f>
        <v>-83.86</v>
      </c>
      <c r="P483" s="23">
        <f>VLOOKUP($A483,'MG Universe'!$A$2:$R$9994,16)</f>
        <v>4.4499999999999998E-2</v>
      </c>
      <c r="Q483" s="109">
        <f>VLOOKUP($A483,'MG Universe'!$A$2:$R$9994,17)</f>
        <v>0</v>
      </c>
      <c r="R483" s="22">
        <f>VLOOKUP($A483,'MG Universe'!$A$2:$R$9994,18)</f>
        <v>0</v>
      </c>
    </row>
    <row r="484" spans="1:18" x14ac:dyDescent="0.55000000000000004">
      <c r="A484" s="18" t="s">
        <v>1011</v>
      </c>
      <c r="B484" s="19" t="str">
        <f>VLOOKUP($A484,'MG Universe'!$A$2:$R$9994,2)</f>
        <v>Waste Management, Inc.</v>
      </c>
      <c r="C484" s="19" t="str">
        <f>VLOOKUP($A484,'MG Universe'!$A$2:$R$9994,3)</f>
        <v>D+</v>
      </c>
      <c r="D484" s="19" t="str">
        <f>VLOOKUP($A484,'MG Universe'!$A$2:$R$9994,4)</f>
        <v>S</v>
      </c>
      <c r="E484" s="19" t="str">
        <f>VLOOKUP($A484,'MG Universe'!$A$2:$R$9994,5)</f>
        <v>O</v>
      </c>
      <c r="F484" s="20" t="str">
        <f>VLOOKUP($A484,'MG Universe'!$A$2:$R$9994,6)</f>
        <v>SO</v>
      </c>
      <c r="G484" s="103">
        <f>VLOOKUP($A484,'MG Universe'!$A$2:$R$9994,7)</f>
        <v>42203</v>
      </c>
      <c r="H484" s="22">
        <f>VLOOKUP($A484,'MG Universe'!$A$2:$R$9994,8)</f>
        <v>14.54</v>
      </c>
      <c r="I484" s="22">
        <f>VLOOKUP($A484,'MG Universe'!$A$2:$R$9994,9)</f>
        <v>57.08</v>
      </c>
      <c r="J484" s="23">
        <f>VLOOKUP($A484,'MG Universe'!$A$2:$R$9994,10)</f>
        <v>3.9257</v>
      </c>
      <c r="K484" s="105">
        <f>VLOOKUP($A484,'MG Universe'!$A$2:$R$9994,11)</f>
        <v>28.97</v>
      </c>
      <c r="L484" s="23">
        <f>VLOOKUP($A484,'MG Universe'!$A$2:$R$9994,12)</f>
        <v>2.7E-2</v>
      </c>
      <c r="M484" s="106">
        <f>VLOOKUP($A484,'MG Universe'!$A$2:$R$9994,13)</f>
        <v>0.6</v>
      </c>
      <c r="N484" s="107">
        <f>VLOOKUP($A484,'MG Universe'!$A$2:$R$9994,14)</f>
        <v>1.1499999999999999</v>
      </c>
      <c r="O484" s="22">
        <f>VLOOKUP($A484,'MG Universe'!$A$2:$R$9994,15)</f>
        <v>-27.31</v>
      </c>
      <c r="P484" s="23">
        <f>VLOOKUP($A484,'MG Universe'!$A$2:$R$9994,16)</f>
        <v>0.1024</v>
      </c>
      <c r="Q484" s="109">
        <f>VLOOKUP($A484,'MG Universe'!$A$2:$R$9994,17)</f>
        <v>0</v>
      </c>
      <c r="R484" s="22">
        <f>VLOOKUP($A484,'MG Universe'!$A$2:$R$9994,18)</f>
        <v>0</v>
      </c>
    </row>
    <row r="485" spans="1:18" x14ac:dyDescent="0.55000000000000004">
      <c r="A485" s="18" t="s">
        <v>626</v>
      </c>
      <c r="B485" s="19" t="str">
        <f>VLOOKUP($A485,'MG Universe'!$A$2:$R$9994,2)</f>
        <v>Williams Companies Inc</v>
      </c>
      <c r="C485" s="19" t="str">
        <f>VLOOKUP($A485,'MG Universe'!$A$2:$R$9994,3)</f>
        <v>C-</v>
      </c>
      <c r="D485" s="19" t="str">
        <f>VLOOKUP($A485,'MG Universe'!$A$2:$R$9994,4)</f>
        <v>S</v>
      </c>
      <c r="E485" s="19" t="str">
        <f>VLOOKUP($A485,'MG Universe'!$A$2:$R$9994,5)</f>
        <v>U</v>
      </c>
      <c r="F485" s="20" t="str">
        <f>VLOOKUP($A485,'MG Universe'!$A$2:$R$9994,6)</f>
        <v>SU</v>
      </c>
      <c r="G485" s="103">
        <f>VLOOKUP($A485,'MG Universe'!$A$2:$R$9994,7)</f>
        <v>42037</v>
      </c>
      <c r="H485" s="22">
        <f>VLOOKUP($A485,'MG Universe'!$A$2:$R$9994,8)</f>
        <v>24.95</v>
      </c>
      <c r="I485" s="22">
        <f>VLOOKUP($A485,'MG Universe'!$A$2:$R$9994,9)</f>
        <v>17.13</v>
      </c>
      <c r="J485" s="23">
        <f>VLOOKUP($A485,'MG Universe'!$A$2:$R$9994,10)</f>
        <v>0.68659999999999999</v>
      </c>
      <c r="K485" s="105">
        <f>VLOOKUP($A485,'MG Universe'!$A$2:$R$9994,11)</f>
        <v>26.35</v>
      </c>
      <c r="L485" s="23">
        <f>VLOOKUP($A485,'MG Universe'!$A$2:$R$9994,12)</f>
        <v>0.14940000000000001</v>
      </c>
      <c r="M485" s="106">
        <f>VLOOKUP($A485,'MG Universe'!$A$2:$R$9994,13)</f>
        <v>1.5</v>
      </c>
      <c r="N485" s="107">
        <f>VLOOKUP($A485,'MG Universe'!$A$2:$R$9994,14)</f>
        <v>0.65</v>
      </c>
      <c r="O485" s="22">
        <f>VLOOKUP($A485,'MG Universe'!$A$2:$R$9994,15)</f>
        <v>-51.56</v>
      </c>
      <c r="P485" s="23">
        <f>VLOOKUP($A485,'MG Universe'!$A$2:$R$9994,16)</f>
        <v>8.9300000000000004E-2</v>
      </c>
      <c r="Q485" s="109">
        <f>VLOOKUP($A485,'MG Universe'!$A$2:$R$9994,17)</f>
        <v>0</v>
      </c>
      <c r="R485" s="22">
        <f>VLOOKUP($A485,'MG Universe'!$A$2:$R$9994,18)</f>
        <v>0</v>
      </c>
    </row>
    <row r="486" spans="1:18" x14ac:dyDescent="0.55000000000000004">
      <c r="A486" s="18" t="s">
        <v>133</v>
      </c>
      <c r="B486" s="19" t="str">
        <f>VLOOKUP($A486,'MG Universe'!$A$2:$R$9994,2)</f>
        <v>Wal-Mart Stores, Inc.</v>
      </c>
      <c r="C486" s="19" t="str">
        <f>VLOOKUP($A486,'MG Universe'!$A$2:$R$9994,3)</f>
        <v>A-</v>
      </c>
      <c r="D486" s="19" t="str">
        <f>VLOOKUP($A486,'MG Universe'!$A$2:$R$9994,4)</f>
        <v>D</v>
      </c>
      <c r="E486" s="19" t="str">
        <f>VLOOKUP($A486,'MG Universe'!$A$2:$R$9994,5)</f>
        <v>F</v>
      </c>
      <c r="F486" s="20" t="str">
        <f>VLOOKUP($A486,'MG Universe'!$A$2:$R$9994,6)</f>
        <v>DF</v>
      </c>
      <c r="G486" s="103">
        <f>VLOOKUP($A486,'MG Universe'!$A$2:$R$9994,7)</f>
        <v>42326</v>
      </c>
      <c r="H486" s="22">
        <f>VLOOKUP($A486,'MG Universe'!$A$2:$R$9994,8)</f>
        <v>63.07</v>
      </c>
      <c r="I486" s="22">
        <f>VLOOKUP($A486,'MG Universe'!$A$2:$R$9994,9)</f>
        <v>66.17</v>
      </c>
      <c r="J486" s="23">
        <f>VLOOKUP($A486,'MG Universe'!$A$2:$R$9994,10)</f>
        <v>1.0491999999999999</v>
      </c>
      <c r="K486" s="105">
        <f>VLOOKUP($A486,'MG Universe'!$A$2:$R$9994,11)</f>
        <v>13.93</v>
      </c>
      <c r="L486" s="23">
        <f>VLOOKUP($A486,'MG Universe'!$A$2:$R$9994,12)</f>
        <v>3.0200000000000001E-2</v>
      </c>
      <c r="M486" s="106">
        <f>VLOOKUP($A486,'MG Universe'!$A$2:$R$9994,13)</f>
        <v>0.2</v>
      </c>
      <c r="N486" s="107">
        <f>VLOOKUP($A486,'MG Universe'!$A$2:$R$9994,14)</f>
        <v>0.89</v>
      </c>
      <c r="O486" s="22">
        <f>VLOOKUP($A486,'MG Universe'!$A$2:$R$9994,15)</f>
        <v>-19.07</v>
      </c>
      <c r="P486" s="23">
        <f>VLOOKUP($A486,'MG Universe'!$A$2:$R$9994,16)</f>
        <v>2.7199999999999998E-2</v>
      </c>
      <c r="Q486" s="109">
        <f>VLOOKUP($A486,'MG Universe'!$A$2:$R$9994,17)</f>
        <v>20</v>
      </c>
      <c r="R486" s="22">
        <f>VLOOKUP($A486,'MG Universe'!$A$2:$R$9994,18)</f>
        <v>49.17</v>
      </c>
    </row>
    <row r="487" spans="1:18" x14ac:dyDescent="0.55000000000000004">
      <c r="A487" s="18" t="s">
        <v>628</v>
      </c>
      <c r="B487" s="19" t="str">
        <f>VLOOKUP($A487,'MG Universe'!$A$2:$R$9994,2)</f>
        <v>The Western Union Company</v>
      </c>
      <c r="C487" s="19" t="str">
        <f>VLOOKUP($A487,'MG Universe'!$A$2:$R$9994,3)</f>
        <v>C-</v>
      </c>
      <c r="D487" s="19" t="str">
        <f>VLOOKUP($A487,'MG Universe'!$A$2:$R$9994,4)</f>
        <v>S</v>
      </c>
      <c r="E487" s="19" t="str">
        <f>VLOOKUP($A487,'MG Universe'!$A$2:$R$9994,5)</f>
        <v>F</v>
      </c>
      <c r="F487" s="20" t="str">
        <f>VLOOKUP($A487,'MG Universe'!$A$2:$R$9994,6)</f>
        <v>SF</v>
      </c>
      <c r="G487" s="103">
        <f>VLOOKUP($A487,'MG Universe'!$A$2:$R$9994,7)</f>
        <v>42222</v>
      </c>
      <c r="H487" s="22">
        <f>VLOOKUP($A487,'MG Universe'!$A$2:$R$9994,8)</f>
        <v>17.329999999999998</v>
      </c>
      <c r="I487" s="22">
        <f>VLOOKUP($A487,'MG Universe'!$A$2:$R$9994,9)</f>
        <v>18.46</v>
      </c>
      <c r="J487" s="23">
        <f>VLOOKUP($A487,'MG Universe'!$A$2:$R$9994,10)</f>
        <v>1.0651999999999999</v>
      </c>
      <c r="K487" s="105">
        <f>VLOOKUP($A487,'MG Universe'!$A$2:$R$9994,11)</f>
        <v>11.68</v>
      </c>
      <c r="L487" s="23">
        <f>VLOOKUP($A487,'MG Universe'!$A$2:$R$9994,12)</f>
        <v>3.4700000000000002E-2</v>
      </c>
      <c r="M487" s="106">
        <f>VLOOKUP($A487,'MG Universe'!$A$2:$R$9994,13)</f>
        <v>1.3</v>
      </c>
      <c r="N487" s="107">
        <f>VLOOKUP($A487,'MG Universe'!$A$2:$R$9994,14)</f>
        <v>1.1200000000000001</v>
      </c>
      <c r="O487" s="22">
        <f>VLOOKUP($A487,'MG Universe'!$A$2:$R$9994,15)</f>
        <v>-6.99</v>
      </c>
      <c r="P487" s="23">
        <f>VLOOKUP($A487,'MG Universe'!$A$2:$R$9994,16)</f>
        <v>1.5900000000000001E-2</v>
      </c>
      <c r="Q487" s="109">
        <f>VLOOKUP($A487,'MG Universe'!$A$2:$R$9994,17)</f>
        <v>0</v>
      </c>
      <c r="R487" s="22">
        <f>VLOOKUP($A487,'MG Universe'!$A$2:$R$9994,18)</f>
        <v>0</v>
      </c>
    </row>
    <row r="488" spans="1:18" x14ac:dyDescent="0.55000000000000004">
      <c r="A488" s="18" t="s">
        <v>209</v>
      </c>
      <c r="B488" s="19" t="str">
        <f>VLOOKUP($A488,'MG Universe'!$A$2:$R$9994,2)</f>
        <v>Weyerhaeuser Co</v>
      </c>
      <c r="C488" s="19" t="str">
        <f>VLOOKUP($A488,'MG Universe'!$A$2:$R$9994,3)</f>
        <v>B</v>
      </c>
      <c r="D488" s="19" t="str">
        <f>VLOOKUP($A488,'MG Universe'!$A$2:$R$9994,4)</f>
        <v>E</v>
      </c>
      <c r="E488" s="19" t="str">
        <f>VLOOKUP($A488,'MG Universe'!$A$2:$R$9994,5)</f>
        <v>U</v>
      </c>
      <c r="F488" s="20" t="str">
        <f>VLOOKUP($A488,'MG Universe'!$A$2:$R$9994,6)</f>
        <v>EU</v>
      </c>
      <c r="G488" s="103">
        <f>VLOOKUP($A488,'MG Universe'!$A$2:$R$9994,7)</f>
        <v>42324</v>
      </c>
      <c r="H488" s="22">
        <f>VLOOKUP($A488,'MG Universe'!$A$2:$R$9994,8)</f>
        <v>44.63</v>
      </c>
      <c r="I488" s="22">
        <f>VLOOKUP($A488,'MG Universe'!$A$2:$R$9994,9)</f>
        <v>27.06</v>
      </c>
      <c r="J488" s="23">
        <f>VLOOKUP($A488,'MG Universe'!$A$2:$R$9994,10)</f>
        <v>0.60629999999999995</v>
      </c>
      <c r="K488" s="105">
        <f>VLOOKUP($A488,'MG Universe'!$A$2:$R$9994,11)</f>
        <v>17.920000000000002</v>
      </c>
      <c r="L488" s="23">
        <f>VLOOKUP($A488,'MG Universe'!$A$2:$R$9994,12)</f>
        <v>4.58E-2</v>
      </c>
      <c r="M488" s="106">
        <f>VLOOKUP($A488,'MG Universe'!$A$2:$R$9994,13)</f>
        <v>1.3</v>
      </c>
      <c r="N488" s="107">
        <f>VLOOKUP($A488,'MG Universe'!$A$2:$R$9994,14)</f>
        <v>2.79</v>
      </c>
      <c r="O488" s="22">
        <f>VLOOKUP($A488,'MG Universe'!$A$2:$R$9994,15)</f>
        <v>-10.52</v>
      </c>
      <c r="P488" s="23">
        <f>VLOOKUP($A488,'MG Universe'!$A$2:$R$9994,16)</f>
        <v>4.7100000000000003E-2</v>
      </c>
      <c r="Q488" s="109">
        <f>VLOOKUP($A488,'MG Universe'!$A$2:$R$9994,17)</f>
        <v>5</v>
      </c>
      <c r="R488" s="22">
        <f>VLOOKUP($A488,'MG Universe'!$A$2:$R$9994,18)</f>
        <v>14.78</v>
      </c>
    </row>
    <row r="489" spans="1:18" x14ac:dyDescent="0.55000000000000004">
      <c r="A489" s="18" t="s">
        <v>465</v>
      </c>
      <c r="B489" s="19" t="str">
        <f>VLOOKUP($A489,'MG Universe'!$A$2:$R$9994,2)</f>
        <v>Wyndham Worldwide Corporation</v>
      </c>
      <c r="C489" s="19" t="str">
        <f>VLOOKUP($A489,'MG Universe'!$A$2:$R$9994,3)</f>
        <v>C</v>
      </c>
      <c r="D489" s="19" t="str">
        <f>VLOOKUP($A489,'MG Universe'!$A$2:$R$9994,4)</f>
        <v>S</v>
      </c>
      <c r="E489" s="19" t="str">
        <f>VLOOKUP($A489,'MG Universe'!$A$2:$R$9994,5)</f>
        <v>U</v>
      </c>
      <c r="F489" s="20" t="str">
        <f>VLOOKUP($A489,'MG Universe'!$A$2:$R$9994,6)</f>
        <v>SU</v>
      </c>
      <c r="G489" s="103">
        <f>VLOOKUP($A489,'MG Universe'!$A$2:$R$9994,7)</f>
        <v>42237</v>
      </c>
      <c r="H489" s="22">
        <f>VLOOKUP($A489,'MG Universe'!$A$2:$R$9994,8)</f>
        <v>150.94999999999999</v>
      </c>
      <c r="I489" s="22">
        <f>VLOOKUP($A489,'MG Universe'!$A$2:$R$9994,9)</f>
        <v>75.03</v>
      </c>
      <c r="J489" s="23">
        <f>VLOOKUP($A489,'MG Universe'!$A$2:$R$9994,10)</f>
        <v>0.49709999999999999</v>
      </c>
      <c r="K489" s="105">
        <f>VLOOKUP($A489,'MG Universe'!$A$2:$R$9994,11)</f>
        <v>19.14</v>
      </c>
      <c r="L489" s="23">
        <f>VLOOKUP($A489,'MG Universe'!$A$2:$R$9994,12)</f>
        <v>2.6700000000000002E-2</v>
      </c>
      <c r="M489" s="106">
        <f>VLOOKUP($A489,'MG Universe'!$A$2:$R$9994,13)</f>
        <v>1.3</v>
      </c>
      <c r="N489" s="107">
        <f>VLOOKUP($A489,'MG Universe'!$A$2:$R$9994,14)</f>
        <v>1</v>
      </c>
      <c r="O489" s="22">
        <f>VLOOKUP($A489,'MG Universe'!$A$2:$R$9994,15)</f>
        <v>-56.62</v>
      </c>
      <c r="P489" s="23">
        <f>VLOOKUP($A489,'MG Universe'!$A$2:$R$9994,16)</f>
        <v>5.3199999999999997E-2</v>
      </c>
      <c r="Q489" s="109">
        <f>VLOOKUP($A489,'MG Universe'!$A$2:$R$9994,17)</f>
        <v>6</v>
      </c>
      <c r="R489" s="22">
        <f>VLOOKUP($A489,'MG Universe'!$A$2:$R$9994,18)</f>
        <v>0</v>
      </c>
    </row>
    <row r="490" spans="1:18" x14ac:dyDescent="0.55000000000000004">
      <c r="A490" s="18" t="s">
        <v>291</v>
      </c>
      <c r="B490" s="19" t="str">
        <f>VLOOKUP($A490,'MG Universe'!$A$2:$R$9994,2)</f>
        <v>Wynn Resorts, Limited</v>
      </c>
      <c r="C490" s="19" t="str">
        <f>VLOOKUP($A490,'MG Universe'!$A$2:$R$9994,3)</f>
        <v>B-</v>
      </c>
      <c r="D490" s="19" t="str">
        <f>VLOOKUP($A490,'MG Universe'!$A$2:$R$9994,4)</f>
        <v>E</v>
      </c>
      <c r="E490" s="19" t="str">
        <f>VLOOKUP($A490,'MG Universe'!$A$2:$R$9994,5)</f>
        <v>U</v>
      </c>
      <c r="F490" s="20" t="str">
        <f>VLOOKUP($A490,'MG Universe'!$A$2:$R$9994,6)</f>
        <v>EU</v>
      </c>
      <c r="G490" s="103">
        <f>VLOOKUP($A490,'MG Universe'!$A$2:$R$9994,7)</f>
        <v>42409</v>
      </c>
      <c r="H490" s="22">
        <f>VLOOKUP($A490,'MG Universe'!$A$2:$R$9994,8)</f>
        <v>175.4</v>
      </c>
      <c r="I490" s="22">
        <f>VLOOKUP($A490,'MG Universe'!$A$2:$R$9994,9)</f>
        <v>85</v>
      </c>
      <c r="J490" s="23">
        <f>VLOOKUP($A490,'MG Universe'!$A$2:$R$9994,10)</f>
        <v>0.48459999999999998</v>
      </c>
      <c r="K490" s="105">
        <f>VLOOKUP($A490,'MG Universe'!$A$2:$R$9994,11)</f>
        <v>18.010000000000002</v>
      </c>
      <c r="L490" s="23">
        <f>VLOOKUP($A490,'MG Universe'!$A$2:$R$9994,12)</f>
        <v>2.35E-2</v>
      </c>
      <c r="M490" s="106">
        <f>VLOOKUP($A490,'MG Universe'!$A$2:$R$9994,13)</f>
        <v>1.8</v>
      </c>
      <c r="N490" s="107">
        <f>VLOOKUP($A490,'MG Universe'!$A$2:$R$9994,14)</f>
        <v>2.11</v>
      </c>
      <c r="O490" s="22">
        <f>VLOOKUP($A490,'MG Universe'!$A$2:$R$9994,15)</f>
        <v>-76.88</v>
      </c>
      <c r="P490" s="23">
        <f>VLOOKUP($A490,'MG Universe'!$A$2:$R$9994,16)</f>
        <v>4.7500000000000001E-2</v>
      </c>
      <c r="Q490" s="109">
        <f>VLOOKUP($A490,'MG Universe'!$A$2:$R$9994,17)</f>
        <v>0</v>
      </c>
      <c r="R490" s="22" t="str">
        <f>VLOOKUP($A490,'MG Universe'!$A$2:$R$9994,18)</f>
        <v>N/A</v>
      </c>
    </row>
    <row r="491" spans="1:18" x14ac:dyDescent="0.55000000000000004">
      <c r="A491" s="18" t="s">
        <v>1169</v>
      </c>
      <c r="B491" s="19" t="str">
        <f>VLOOKUP($A491,'MG Universe'!$A$2:$R$9994,2)</f>
        <v>United States Steel Corporation</v>
      </c>
      <c r="C491" s="19" t="str">
        <f>VLOOKUP($A491,'MG Universe'!$A$2:$R$9994,3)</f>
        <v>F</v>
      </c>
      <c r="D491" s="19" t="str">
        <f>VLOOKUP($A491,'MG Universe'!$A$2:$R$9994,4)</f>
        <v>S</v>
      </c>
      <c r="E491" s="19" t="str">
        <f>VLOOKUP($A491,'MG Universe'!$A$2:$R$9994,5)</f>
        <v>O</v>
      </c>
      <c r="F491" s="20" t="str">
        <f>VLOOKUP($A491,'MG Universe'!$A$2:$R$9994,6)</f>
        <v>SO</v>
      </c>
      <c r="G491" s="103">
        <f>VLOOKUP($A491,'MG Universe'!$A$2:$R$9994,7)</f>
        <v>42051</v>
      </c>
      <c r="H491" s="22">
        <f>VLOOKUP($A491,'MG Universe'!$A$2:$R$9994,8)</f>
        <v>0</v>
      </c>
      <c r="I491" s="22">
        <f>VLOOKUP($A491,'MG Universe'!$A$2:$R$9994,9)</f>
        <v>11.35</v>
      </c>
      <c r="J491" s="23" t="str">
        <f>VLOOKUP($A491,'MG Universe'!$A$2:$R$9994,10)</f>
        <v>N/A</v>
      </c>
      <c r="K491" s="105" t="str">
        <f>VLOOKUP($A491,'MG Universe'!$A$2:$R$9994,11)</f>
        <v>N/A</v>
      </c>
      <c r="L491" s="23">
        <f>VLOOKUP($A491,'MG Universe'!$A$2:$R$9994,12)</f>
        <v>1.7600000000000001E-2</v>
      </c>
      <c r="M491" s="106">
        <f>VLOOKUP($A491,'MG Universe'!$A$2:$R$9994,13)</f>
        <v>1.8</v>
      </c>
      <c r="N491" s="107">
        <f>VLOOKUP($A491,'MG Universe'!$A$2:$R$9994,14)</f>
        <v>1.8</v>
      </c>
      <c r="O491" s="22">
        <f>VLOOKUP($A491,'MG Universe'!$A$2:$R$9994,15)</f>
        <v>-13.84</v>
      </c>
      <c r="P491" s="23">
        <f>VLOOKUP($A491,'MG Universe'!$A$2:$R$9994,16)</f>
        <v>-5.9700000000000003E-2</v>
      </c>
      <c r="Q491" s="109">
        <f>VLOOKUP($A491,'MG Universe'!$A$2:$R$9994,17)</f>
        <v>0</v>
      </c>
      <c r="R491" s="22">
        <f>VLOOKUP($A491,'MG Universe'!$A$2:$R$9994,18)</f>
        <v>0</v>
      </c>
    </row>
    <row r="492" spans="1:18" x14ac:dyDescent="0.55000000000000004">
      <c r="A492" s="18" t="s">
        <v>293</v>
      </c>
      <c r="B492" s="19" t="str">
        <f>VLOOKUP($A492,'MG Universe'!$A$2:$R$9994,2)</f>
        <v>Xcel Energy Inc</v>
      </c>
      <c r="C492" s="19" t="str">
        <f>VLOOKUP($A492,'MG Universe'!$A$2:$R$9994,3)</f>
        <v>B-</v>
      </c>
      <c r="D492" s="19" t="str">
        <f>VLOOKUP($A492,'MG Universe'!$A$2:$R$9994,4)</f>
        <v>D</v>
      </c>
      <c r="E492" s="19" t="str">
        <f>VLOOKUP($A492,'MG Universe'!$A$2:$R$9994,5)</f>
        <v>O</v>
      </c>
      <c r="F492" s="20" t="str">
        <f>VLOOKUP($A492,'MG Universe'!$A$2:$R$9994,6)</f>
        <v>DO</v>
      </c>
      <c r="G492" s="103">
        <f>VLOOKUP($A492,'MG Universe'!$A$2:$R$9994,7)</f>
        <v>42270</v>
      </c>
      <c r="H492" s="22">
        <f>VLOOKUP($A492,'MG Universe'!$A$2:$R$9994,8)</f>
        <v>24.22</v>
      </c>
      <c r="I492" s="22">
        <f>VLOOKUP($A492,'MG Universe'!$A$2:$R$9994,9)</f>
        <v>39.590000000000003</v>
      </c>
      <c r="J492" s="23">
        <f>VLOOKUP($A492,'MG Universe'!$A$2:$R$9994,10)</f>
        <v>1.6346000000000001</v>
      </c>
      <c r="K492" s="105">
        <f>VLOOKUP($A492,'MG Universe'!$A$2:$R$9994,11)</f>
        <v>21.63</v>
      </c>
      <c r="L492" s="23">
        <f>VLOOKUP($A492,'MG Universe'!$A$2:$R$9994,12)</f>
        <v>3.44E-2</v>
      </c>
      <c r="M492" s="106">
        <f>VLOOKUP($A492,'MG Universe'!$A$2:$R$9994,13)</f>
        <v>0.1</v>
      </c>
      <c r="N492" s="107">
        <f>VLOOKUP($A492,'MG Universe'!$A$2:$R$9994,14)</f>
        <v>0.86</v>
      </c>
      <c r="O492" s="22">
        <f>VLOOKUP($A492,'MG Universe'!$A$2:$R$9994,15)</f>
        <v>-47.14</v>
      </c>
      <c r="P492" s="23">
        <f>VLOOKUP($A492,'MG Universe'!$A$2:$R$9994,16)</f>
        <v>6.5699999999999995E-2</v>
      </c>
      <c r="Q492" s="109">
        <f>VLOOKUP($A492,'MG Universe'!$A$2:$R$9994,17)</f>
        <v>12</v>
      </c>
      <c r="R492" s="22">
        <f>VLOOKUP($A492,'MG Universe'!$A$2:$R$9994,18)</f>
        <v>27.43</v>
      </c>
    </row>
    <row r="493" spans="1:18" x14ac:dyDescent="0.55000000000000004">
      <c r="A493" s="18" t="s">
        <v>630</v>
      </c>
      <c r="B493" s="19" t="str">
        <f>VLOOKUP($A493,'MG Universe'!$A$2:$R$9994,2)</f>
        <v>XL Group plc</v>
      </c>
      <c r="C493" s="19" t="str">
        <f>VLOOKUP($A493,'MG Universe'!$A$2:$R$9994,3)</f>
        <v>C-</v>
      </c>
      <c r="D493" s="19" t="str">
        <f>VLOOKUP($A493,'MG Universe'!$A$2:$R$9994,4)</f>
        <v>S</v>
      </c>
      <c r="E493" s="19" t="str">
        <f>VLOOKUP($A493,'MG Universe'!$A$2:$R$9994,5)</f>
        <v>U</v>
      </c>
      <c r="F493" s="20" t="str">
        <f>VLOOKUP($A493,'MG Universe'!$A$2:$R$9994,6)</f>
        <v>SU</v>
      </c>
      <c r="G493" s="103">
        <f>VLOOKUP($A493,'MG Universe'!$A$2:$R$9994,7)</f>
        <v>42093</v>
      </c>
      <c r="H493" s="22">
        <f>VLOOKUP($A493,'MG Universe'!$A$2:$R$9994,8)</f>
        <v>64.319999999999993</v>
      </c>
      <c r="I493" s="22">
        <f>VLOOKUP($A493,'MG Universe'!$A$2:$R$9994,9)</f>
        <v>35.92</v>
      </c>
      <c r="J493" s="23">
        <f>VLOOKUP($A493,'MG Universe'!$A$2:$R$9994,10)</f>
        <v>0.5585</v>
      </c>
      <c r="K493" s="105">
        <f>VLOOKUP($A493,'MG Universe'!$A$2:$R$9994,11)</f>
        <v>21.51</v>
      </c>
      <c r="L493" s="23">
        <f>VLOOKUP($A493,'MG Universe'!$A$2:$R$9994,12)</f>
        <v>2.23E-2</v>
      </c>
      <c r="M493" s="106">
        <f>VLOOKUP($A493,'MG Universe'!$A$2:$R$9994,13)</f>
        <v>1</v>
      </c>
      <c r="N493" s="107" t="str">
        <f>VLOOKUP($A493,'MG Universe'!$A$2:$R$9994,14)</f>
        <v>N/A</v>
      </c>
      <c r="O493" s="22" t="str">
        <f>VLOOKUP($A493,'MG Universe'!$A$2:$R$9994,15)</f>
        <v>N/A</v>
      </c>
      <c r="P493" s="23">
        <f>VLOOKUP($A493,'MG Universe'!$A$2:$R$9994,16)</f>
        <v>6.5000000000000002E-2</v>
      </c>
      <c r="Q493" s="109">
        <f>VLOOKUP($A493,'MG Universe'!$A$2:$R$9994,17)</f>
        <v>0</v>
      </c>
      <c r="R493" s="22">
        <f>VLOOKUP($A493,'MG Universe'!$A$2:$R$9994,18)</f>
        <v>0</v>
      </c>
    </row>
    <row r="494" spans="1:18" x14ac:dyDescent="0.55000000000000004">
      <c r="A494" s="18" t="s">
        <v>467</v>
      </c>
      <c r="B494" s="19" t="str">
        <f>VLOOKUP($A494,'MG Universe'!$A$2:$R$9994,2)</f>
        <v>Xilinx, Inc.</v>
      </c>
      <c r="C494" s="19" t="str">
        <f>VLOOKUP($A494,'MG Universe'!$A$2:$R$9994,3)</f>
        <v>C</v>
      </c>
      <c r="D494" s="19" t="str">
        <f>VLOOKUP($A494,'MG Universe'!$A$2:$R$9994,4)</f>
        <v>E</v>
      </c>
      <c r="E494" s="19" t="str">
        <f>VLOOKUP($A494,'MG Universe'!$A$2:$R$9994,5)</f>
        <v>O</v>
      </c>
      <c r="F494" s="20" t="str">
        <f>VLOOKUP($A494,'MG Universe'!$A$2:$R$9994,6)</f>
        <v>EO</v>
      </c>
      <c r="G494" s="103">
        <f>VLOOKUP($A494,'MG Universe'!$A$2:$R$9994,7)</f>
        <v>42411</v>
      </c>
      <c r="H494" s="22">
        <f>VLOOKUP($A494,'MG Universe'!$A$2:$R$9994,8)</f>
        <v>28.54</v>
      </c>
      <c r="I494" s="22">
        <f>VLOOKUP($A494,'MG Universe'!$A$2:$R$9994,9)</f>
        <v>48.16</v>
      </c>
      <c r="J494" s="23">
        <f>VLOOKUP($A494,'MG Universe'!$A$2:$R$9994,10)</f>
        <v>1.6875</v>
      </c>
      <c r="K494" s="105">
        <f>VLOOKUP($A494,'MG Universe'!$A$2:$R$9994,11)</f>
        <v>22.82</v>
      </c>
      <c r="L494" s="23">
        <f>VLOOKUP($A494,'MG Universe'!$A$2:$R$9994,12)</f>
        <v>2.5700000000000001E-2</v>
      </c>
      <c r="M494" s="106">
        <f>VLOOKUP($A494,'MG Universe'!$A$2:$R$9994,13)</f>
        <v>1.3</v>
      </c>
      <c r="N494" s="107">
        <f>VLOOKUP($A494,'MG Universe'!$A$2:$R$9994,14)</f>
        <v>4.3</v>
      </c>
      <c r="O494" s="22">
        <f>VLOOKUP($A494,'MG Universe'!$A$2:$R$9994,15)</f>
        <v>6.3</v>
      </c>
      <c r="P494" s="23">
        <f>VLOOKUP($A494,'MG Universe'!$A$2:$R$9994,16)</f>
        <v>7.1599999999999997E-2</v>
      </c>
      <c r="Q494" s="109">
        <f>VLOOKUP($A494,'MG Universe'!$A$2:$R$9994,17)</f>
        <v>12</v>
      </c>
      <c r="R494" s="22">
        <f>VLOOKUP($A494,'MG Universe'!$A$2:$R$9994,18)</f>
        <v>21.4</v>
      </c>
    </row>
    <row r="495" spans="1:18" x14ac:dyDescent="0.55000000000000004">
      <c r="A495" s="18" t="s">
        <v>1015</v>
      </c>
      <c r="B495" s="19" t="str">
        <f>VLOOKUP($A495,'MG Universe'!$A$2:$R$9994,2)</f>
        <v>Exxon Mobil Corporation</v>
      </c>
      <c r="C495" s="19" t="str">
        <f>VLOOKUP($A495,'MG Universe'!$A$2:$R$9994,3)</f>
        <v>D+</v>
      </c>
      <c r="D495" s="19" t="str">
        <f>VLOOKUP($A495,'MG Universe'!$A$2:$R$9994,4)</f>
        <v>S</v>
      </c>
      <c r="E495" s="19" t="str">
        <f>VLOOKUP($A495,'MG Universe'!$A$2:$R$9994,5)</f>
        <v>O</v>
      </c>
      <c r="F495" s="20" t="str">
        <f>VLOOKUP($A495,'MG Universe'!$A$2:$R$9994,6)</f>
        <v>SO</v>
      </c>
      <c r="G495" s="103">
        <f>VLOOKUP($A495,'MG Universe'!$A$2:$R$9994,7)</f>
        <v>42159</v>
      </c>
      <c r="H495" s="22">
        <f>VLOOKUP($A495,'MG Universe'!$A$2:$R$9994,8)</f>
        <v>42.51</v>
      </c>
      <c r="I495" s="22">
        <f>VLOOKUP($A495,'MG Universe'!$A$2:$R$9994,9)</f>
        <v>82.7</v>
      </c>
      <c r="J495" s="23">
        <f>VLOOKUP($A495,'MG Universe'!$A$2:$R$9994,10)</f>
        <v>1.9454</v>
      </c>
      <c r="K495" s="105">
        <f>VLOOKUP($A495,'MG Universe'!$A$2:$R$9994,11)</f>
        <v>12.8</v>
      </c>
      <c r="L495" s="23">
        <f>VLOOKUP($A495,'MG Universe'!$A$2:$R$9994,12)</f>
        <v>3.5299999999999998E-2</v>
      </c>
      <c r="M495" s="106">
        <f>VLOOKUP($A495,'MG Universe'!$A$2:$R$9994,13)</f>
        <v>0.9</v>
      </c>
      <c r="N495" s="107">
        <f>VLOOKUP($A495,'MG Universe'!$A$2:$R$9994,14)</f>
        <v>0.91</v>
      </c>
      <c r="O495" s="22">
        <f>VLOOKUP($A495,'MG Universe'!$A$2:$R$9994,15)</f>
        <v>-28.75</v>
      </c>
      <c r="P495" s="23">
        <f>VLOOKUP($A495,'MG Universe'!$A$2:$R$9994,16)</f>
        <v>2.1499999999999998E-2</v>
      </c>
      <c r="Q495" s="109">
        <f>VLOOKUP($A495,'MG Universe'!$A$2:$R$9994,17)</f>
        <v>0</v>
      </c>
      <c r="R495" s="22">
        <f>VLOOKUP($A495,'MG Universe'!$A$2:$R$9994,18)</f>
        <v>0</v>
      </c>
    </row>
    <row r="496" spans="1:18" x14ac:dyDescent="0.55000000000000004">
      <c r="A496" s="18" t="s">
        <v>1147</v>
      </c>
      <c r="B496" s="19" t="str">
        <f>VLOOKUP($A496,'MG Universe'!$A$2:$R$9994,2)</f>
        <v>DENTSPLY SIRONA Inc</v>
      </c>
      <c r="C496" s="19" t="str">
        <f>VLOOKUP($A496,'MG Universe'!$A$2:$R$9994,3)</f>
        <v>F</v>
      </c>
      <c r="D496" s="19" t="str">
        <f>VLOOKUP($A496,'MG Universe'!$A$2:$R$9994,4)</f>
        <v>S</v>
      </c>
      <c r="E496" s="19" t="str">
        <f>VLOOKUP($A496,'MG Universe'!$A$2:$R$9994,5)</f>
        <v>O</v>
      </c>
      <c r="F496" s="20" t="str">
        <f>VLOOKUP($A496,'MG Universe'!$A$2:$R$9994,6)</f>
        <v>SO</v>
      </c>
      <c r="G496" s="103">
        <f>VLOOKUP($A496,'MG Universe'!$A$2:$R$9994,7)</f>
        <v>42327</v>
      </c>
      <c r="H496" s="22">
        <f>VLOOKUP($A496,'MG Universe'!$A$2:$R$9994,8)</f>
        <v>28.88</v>
      </c>
      <c r="I496" s="22">
        <f>VLOOKUP($A496,'MG Universe'!$A$2:$R$9994,9)</f>
        <v>60.2</v>
      </c>
      <c r="J496" s="23">
        <f>VLOOKUP($A496,'MG Universe'!$A$2:$R$9994,10)</f>
        <v>2.0844999999999998</v>
      </c>
      <c r="K496" s="105">
        <f>VLOOKUP($A496,'MG Universe'!$A$2:$R$9994,11)</f>
        <v>28.8</v>
      </c>
      <c r="L496" s="23">
        <f>VLOOKUP($A496,'MG Universe'!$A$2:$R$9994,12)</f>
        <v>4.7999999999999996E-3</v>
      </c>
      <c r="M496" s="106">
        <f>VLOOKUP($A496,'MG Universe'!$A$2:$R$9994,13)</f>
        <v>1.4</v>
      </c>
      <c r="N496" s="107">
        <f>VLOOKUP($A496,'MG Universe'!$A$2:$R$9994,14)</f>
        <v>1.29</v>
      </c>
      <c r="O496" s="22">
        <f>VLOOKUP($A496,'MG Universe'!$A$2:$R$9994,15)</f>
        <v>-6.42</v>
      </c>
      <c r="P496" s="23">
        <f>VLOOKUP($A496,'MG Universe'!$A$2:$R$9994,16)</f>
        <v>0.10150000000000001</v>
      </c>
      <c r="Q496" s="109">
        <f>VLOOKUP($A496,'MG Universe'!$A$2:$R$9994,17)</f>
        <v>5</v>
      </c>
      <c r="R496" s="22">
        <f>VLOOKUP($A496,'MG Universe'!$A$2:$R$9994,18)</f>
        <v>26.96</v>
      </c>
    </row>
    <row r="497" spans="1:18" x14ac:dyDescent="0.55000000000000004">
      <c r="A497" s="18" t="s">
        <v>469</v>
      </c>
      <c r="B497" s="19" t="str">
        <f>VLOOKUP($A497,'MG Universe'!$A$2:$R$9994,2)</f>
        <v>Xerox Corp</v>
      </c>
      <c r="C497" s="19" t="str">
        <f>VLOOKUP($A497,'MG Universe'!$A$2:$R$9994,3)</f>
        <v>C</v>
      </c>
      <c r="D497" s="19" t="str">
        <f>VLOOKUP($A497,'MG Universe'!$A$2:$R$9994,4)</f>
        <v>S</v>
      </c>
      <c r="E497" s="19" t="str">
        <f>VLOOKUP($A497,'MG Universe'!$A$2:$R$9994,5)</f>
        <v>U</v>
      </c>
      <c r="F497" s="20" t="str">
        <f>VLOOKUP($A497,'MG Universe'!$A$2:$R$9994,6)</f>
        <v>SU</v>
      </c>
      <c r="G497" s="103">
        <f>VLOOKUP($A497,'MG Universe'!$A$2:$R$9994,7)</f>
        <v>42023</v>
      </c>
      <c r="H497" s="22">
        <f>VLOOKUP($A497,'MG Universe'!$A$2:$R$9994,8)</f>
        <v>24.64</v>
      </c>
      <c r="I497" s="22">
        <f>VLOOKUP($A497,'MG Universe'!$A$2:$R$9994,9)</f>
        <v>10.199999999999999</v>
      </c>
      <c r="J497" s="23">
        <f>VLOOKUP($A497,'MG Universe'!$A$2:$R$9994,10)</f>
        <v>0.41399999999999998</v>
      </c>
      <c r="K497" s="105">
        <f>VLOOKUP($A497,'MG Universe'!$A$2:$R$9994,11)</f>
        <v>10.97</v>
      </c>
      <c r="L497" s="23">
        <f>VLOOKUP($A497,'MG Universe'!$A$2:$R$9994,12)</f>
        <v>3.04E-2</v>
      </c>
      <c r="M497" s="106">
        <f>VLOOKUP($A497,'MG Universe'!$A$2:$R$9994,13)</f>
        <v>1.3</v>
      </c>
      <c r="N497" s="107">
        <f>VLOOKUP($A497,'MG Universe'!$A$2:$R$9994,14)</f>
        <v>1.38</v>
      </c>
      <c r="O497" s="22">
        <f>VLOOKUP($A497,'MG Universe'!$A$2:$R$9994,15)</f>
        <v>-7.13</v>
      </c>
      <c r="P497" s="23">
        <f>VLOOKUP($A497,'MG Universe'!$A$2:$R$9994,16)</f>
        <v>1.23E-2</v>
      </c>
      <c r="Q497" s="109">
        <f>VLOOKUP($A497,'MG Universe'!$A$2:$R$9994,17)</f>
        <v>0</v>
      </c>
      <c r="R497" s="22">
        <f>VLOOKUP($A497,'MG Universe'!$A$2:$R$9994,18)</f>
        <v>0</v>
      </c>
    </row>
    <row r="498" spans="1:18" x14ac:dyDescent="0.55000000000000004">
      <c r="A498" s="18" t="s">
        <v>471</v>
      </c>
      <c r="B498" s="19" t="str">
        <f>VLOOKUP($A498,'MG Universe'!$A$2:$R$9994,2)</f>
        <v>Xylem Inc</v>
      </c>
      <c r="C498" s="19" t="str">
        <f>VLOOKUP($A498,'MG Universe'!$A$2:$R$9994,3)</f>
        <v>C</v>
      </c>
      <c r="D498" s="19" t="str">
        <f>VLOOKUP($A498,'MG Universe'!$A$2:$R$9994,4)</f>
        <v>E</v>
      </c>
      <c r="E498" s="19" t="str">
        <f>VLOOKUP($A498,'MG Universe'!$A$2:$R$9994,5)</f>
        <v>F</v>
      </c>
      <c r="F498" s="20" t="str">
        <f>VLOOKUP($A498,'MG Universe'!$A$2:$R$9994,6)</f>
        <v>EF</v>
      </c>
      <c r="G498" s="103">
        <f>VLOOKUP($A498,'MG Universe'!$A$2:$R$9994,7)</f>
        <v>42395</v>
      </c>
      <c r="H498" s="22">
        <f>VLOOKUP($A498,'MG Universe'!$A$2:$R$9994,8)</f>
        <v>48.38</v>
      </c>
      <c r="I498" s="22">
        <f>VLOOKUP($A498,'MG Universe'!$A$2:$R$9994,9)</f>
        <v>38.03</v>
      </c>
      <c r="J498" s="23">
        <f>VLOOKUP($A498,'MG Universe'!$A$2:$R$9994,10)</f>
        <v>0.78610000000000002</v>
      </c>
      <c r="K498" s="105">
        <f>VLOOKUP($A498,'MG Universe'!$A$2:$R$9994,11)</f>
        <v>23.05</v>
      </c>
      <c r="L498" s="23">
        <f>VLOOKUP($A498,'MG Universe'!$A$2:$R$9994,12)</f>
        <v>1.6299999999999999E-2</v>
      </c>
      <c r="M498" s="106">
        <f>VLOOKUP($A498,'MG Universe'!$A$2:$R$9994,13)</f>
        <v>1.2</v>
      </c>
      <c r="N498" s="107">
        <f>VLOOKUP($A498,'MG Universe'!$A$2:$R$9994,14)</f>
        <v>2.4700000000000002</v>
      </c>
      <c r="O498" s="22">
        <f>VLOOKUP($A498,'MG Universe'!$A$2:$R$9994,15)</f>
        <v>-3.22</v>
      </c>
      <c r="P498" s="23">
        <f>VLOOKUP($A498,'MG Universe'!$A$2:$R$9994,16)</f>
        <v>7.2700000000000001E-2</v>
      </c>
      <c r="Q498" s="109">
        <f>VLOOKUP($A498,'MG Universe'!$A$2:$R$9994,17)</f>
        <v>5</v>
      </c>
      <c r="R498" s="22">
        <f>VLOOKUP($A498,'MG Universe'!$A$2:$R$9994,18)</f>
        <v>21.6</v>
      </c>
    </row>
    <row r="499" spans="1:18" x14ac:dyDescent="0.55000000000000004">
      <c r="A499" s="18" t="s">
        <v>211</v>
      </c>
      <c r="B499" s="19" t="str">
        <f>VLOOKUP($A499,'MG Universe'!$A$2:$R$9994,2)</f>
        <v>Yahoo! Inc.</v>
      </c>
      <c r="C499" s="19" t="str">
        <f>VLOOKUP($A499,'MG Universe'!$A$2:$R$9994,3)</f>
        <v>B</v>
      </c>
      <c r="D499" s="19" t="str">
        <f>VLOOKUP($A499,'MG Universe'!$A$2:$R$9994,4)</f>
        <v>D</v>
      </c>
      <c r="E499" s="19" t="str">
        <f>VLOOKUP($A499,'MG Universe'!$A$2:$R$9994,5)</f>
        <v>U</v>
      </c>
      <c r="F499" s="20" t="str">
        <f>VLOOKUP($A499,'MG Universe'!$A$2:$R$9994,6)</f>
        <v>DU</v>
      </c>
      <c r="G499" s="103">
        <f>VLOOKUP($A499,'MG Universe'!$A$2:$R$9994,7)</f>
        <v>42325</v>
      </c>
      <c r="H499" s="22">
        <f>VLOOKUP($A499,'MG Universe'!$A$2:$R$9994,8)</f>
        <v>106.93</v>
      </c>
      <c r="I499" s="22">
        <f>VLOOKUP($A499,'MG Universe'!$A$2:$R$9994,9)</f>
        <v>32.909999999999997</v>
      </c>
      <c r="J499" s="23">
        <f>VLOOKUP($A499,'MG Universe'!$A$2:$R$9994,10)</f>
        <v>0.30780000000000002</v>
      </c>
      <c r="K499" s="105">
        <f>VLOOKUP($A499,'MG Universe'!$A$2:$R$9994,11)</f>
        <v>11.84</v>
      </c>
      <c r="L499" s="23" t="str">
        <f>VLOOKUP($A499,'MG Universe'!$A$2:$R$9994,12)</f>
        <v>N/A</v>
      </c>
      <c r="M499" s="106">
        <f>VLOOKUP($A499,'MG Universe'!$A$2:$R$9994,13)</f>
        <v>1.5</v>
      </c>
      <c r="N499" s="107">
        <f>VLOOKUP($A499,'MG Universe'!$A$2:$R$9994,14)</f>
        <v>5.63</v>
      </c>
      <c r="O499" s="22">
        <f>VLOOKUP($A499,'MG Universe'!$A$2:$R$9994,15)</f>
        <v>-5.59</v>
      </c>
      <c r="P499" s="23">
        <f>VLOOKUP($A499,'MG Universe'!$A$2:$R$9994,16)</f>
        <v>1.67E-2</v>
      </c>
      <c r="Q499" s="109">
        <f>VLOOKUP($A499,'MG Universe'!$A$2:$R$9994,17)</f>
        <v>0</v>
      </c>
      <c r="R499" s="22">
        <f>VLOOKUP($A499,'MG Universe'!$A$2:$R$9994,18)</f>
        <v>9.7200000000000006</v>
      </c>
    </row>
    <row r="500" spans="1:18" x14ac:dyDescent="0.55000000000000004">
      <c r="A500" s="18" t="s">
        <v>1017</v>
      </c>
      <c r="B500" s="19" t="str">
        <f>VLOOKUP($A500,'MG Universe'!$A$2:$R$9994,2)</f>
        <v>Yum! Brands, Inc.</v>
      </c>
      <c r="C500" s="19" t="str">
        <f>VLOOKUP($A500,'MG Universe'!$A$2:$R$9994,3)</f>
        <v>D+</v>
      </c>
      <c r="D500" s="19" t="str">
        <f>VLOOKUP($A500,'MG Universe'!$A$2:$R$9994,4)</f>
        <v>S</v>
      </c>
      <c r="E500" s="19" t="str">
        <f>VLOOKUP($A500,'MG Universe'!$A$2:$R$9994,5)</f>
        <v>O</v>
      </c>
      <c r="F500" s="20" t="str">
        <f>VLOOKUP($A500,'MG Universe'!$A$2:$R$9994,6)</f>
        <v>SO</v>
      </c>
      <c r="G500" s="103">
        <f>VLOOKUP($A500,'MG Universe'!$A$2:$R$9994,7)</f>
        <v>42072</v>
      </c>
      <c r="H500" s="22">
        <f>VLOOKUP($A500,'MG Universe'!$A$2:$R$9994,8)</f>
        <v>37.24</v>
      </c>
      <c r="I500" s="22">
        <f>VLOOKUP($A500,'MG Universe'!$A$2:$R$9994,9)</f>
        <v>75.41</v>
      </c>
      <c r="J500" s="23">
        <f>VLOOKUP($A500,'MG Universe'!$A$2:$R$9994,10)</f>
        <v>2.0249999999999999</v>
      </c>
      <c r="K500" s="105">
        <f>VLOOKUP($A500,'MG Universe'!$A$2:$R$9994,11)</f>
        <v>29</v>
      </c>
      <c r="L500" s="23">
        <f>VLOOKUP($A500,'MG Universe'!$A$2:$R$9994,12)</f>
        <v>2.4400000000000002E-2</v>
      </c>
      <c r="M500" s="106">
        <f>VLOOKUP($A500,'MG Universe'!$A$2:$R$9994,13)</f>
        <v>0.7</v>
      </c>
      <c r="N500" s="107">
        <f>VLOOKUP($A500,'MG Universe'!$A$2:$R$9994,14)</f>
        <v>0.68</v>
      </c>
      <c r="O500" s="22">
        <f>VLOOKUP($A500,'MG Universe'!$A$2:$R$9994,15)</f>
        <v>-11.53</v>
      </c>
      <c r="P500" s="23">
        <f>VLOOKUP($A500,'MG Universe'!$A$2:$R$9994,16)</f>
        <v>0.10249999999999999</v>
      </c>
      <c r="Q500" s="109">
        <f>VLOOKUP($A500,'MG Universe'!$A$2:$R$9994,17)</f>
        <v>0</v>
      </c>
      <c r="R500" s="22">
        <f>VLOOKUP($A500,'MG Universe'!$A$2:$R$9994,18)</f>
        <v>0</v>
      </c>
    </row>
    <row r="501" spans="1:18" x14ac:dyDescent="0.55000000000000004">
      <c r="A501" s="18" t="s">
        <v>1019</v>
      </c>
      <c r="B501" s="19" t="str">
        <f>VLOOKUP($A501,'MG Universe'!$A$2:$R$9994,2)</f>
        <v>Zions Bancorporation</v>
      </c>
      <c r="C501" s="19" t="str">
        <f>VLOOKUP($A501,'MG Universe'!$A$2:$R$9994,3)</f>
        <v>D+</v>
      </c>
      <c r="D501" s="19" t="str">
        <f>VLOOKUP($A501,'MG Universe'!$A$2:$R$9994,4)</f>
        <v>S</v>
      </c>
      <c r="E501" s="19" t="str">
        <f>VLOOKUP($A501,'MG Universe'!$A$2:$R$9994,5)</f>
        <v>U</v>
      </c>
      <c r="F501" s="20" t="str">
        <f>VLOOKUP($A501,'MG Universe'!$A$2:$R$9994,6)</f>
        <v>SU</v>
      </c>
      <c r="G501" s="103">
        <f>VLOOKUP($A501,'MG Universe'!$A$2:$R$9994,7)</f>
        <v>42052</v>
      </c>
      <c r="H501" s="22">
        <f>VLOOKUP($A501,'MG Universe'!$A$2:$R$9994,8)</f>
        <v>43.53</v>
      </c>
      <c r="I501" s="22">
        <f>VLOOKUP($A501,'MG Universe'!$A$2:$R$9994,9)</f>
        <v>22.83</v>
      </c>
      <c r="J501" s="23">
        <f>VLOOKUP($A501,'MG Universe'!$A$2:$R$9994,10)</f>
        <v>0.52449999999999997</v>
      </c>
      <c r="K501" s="105">
        <f>VLOOKUP($A501,'MG Universe'!$A$2:$R$9994,11)</f>
        <v>20.2</v>
      </c>
      <c r="L501" s="23">
        <f>VLOOKUP($A501,'MG Universe'!$A$2:$R$9994,12)</f>
        <v>1.0500000000000001E-2</v>
      </c>
      <c r="M501" s="106">
        <f>VLOOKUP($A501,'MG Universe'!$A$2:$R$9994,13)</f>
        <v>1.7</v>
      </c>
      <c r="N501" s="107" t="str">
        <f>VLOOKUP($A501,'MG Universe'!$A$2:$R$9994,14)</f>
        <v>N/A</v>
      </c>
      <c r="O501" s="22" t="str">
        <f>VLOOKUP($A501,'MG Universe'!$A$2:$R$9994,15)</f>
        <v>N/A</v>
      </c>
      <c r="P501" s="23">
        <f>VLOOKUP($A501,'MG Universe'!$A$2:$R$9994,16)</f>
        <v>5.8500000000000003E-2</v>
      </c>
      <c r="Q501" s="109">
        <f>VLOOKUP($A501,'MG Universe'!$A$2:$R$9994,17)</f>
        <v>0</v>
      </c>
      <c r="R501" s="22">
        <f>VLOOKUP($A501,'MG Universe'!$A$2:$R$9994,18)</f>
        <v>0</v>
      </c>
    </row>
    <row r="502" spans="1:18" x14ac:dyDescent="0.55000000000000004">
      <c r="A502" s="18" t="s">
        <v>1170</v>
      </c>
      <c r="B502" s="19" t="str">
        <f>VLOOKUP($A502,'MG Universe'!$A$2:$R$9994,2)</f>
        <v>Zions Bancorporation</v>
      </c>
      <c r="C502" s="19" t="str">
        <f>VLOOKUP($A502,'MG Universe'!$A$2:$R$9994,3)</f>
        <v>D+</v>
      </c>
      <c r="D502" s="19" t="str">
        <f>VLOOKUP($A502,'MG Universe'!$A$2:$R$9994,4)</f>
        <v>S</v>
      </c>
      <c r="E502" s="19" t="str">
        <f>VLOOKUP($A502,'MG Universe'!$A$2:$R$9994,5)</f>
        <v>U</v>
      </c>
      <c r="F502" s="20" t="str">
        <f>VLOOKUP($A502,'MG Universe'!$A$2:$R$9994,6)</f>
        <v>SU</v>
      </c>
      <c r="G502" s="103">
        <f>VLOOKUP($A502,'MG Universe'!$A$2:$R$9994,7)</f>
        <v>42052</v>
      </c>
      <c r="H502" s="22">
        <f>VLOOKUP($A502,'MG Universe'!$A$2:$R$9994,8)</f>
        <v>43.53</v>
      </c>
      <c r="I502" s="22">
        <f>VLOOKUP($A502,'MG Universe'!$A$2:$R$9994,9)</f>
        <v>22.83</v>
      </c>
      <c r="J502" s="23">
        <f>VLOOKUP($A502,'MG Universe'!$A$2:$R$9994,10)</f>
        <v>0.52449999999999997</v>
      </c>
      <c r="K502" s="105">
        <f>VLOOKUP($A502,'MG Universe'!$A$2:$R$9994,11)</f>
        <v>20.2</v>
      </c>
      <c r="L502" s="23">
        <f>VLOOKUP($A502,'MG Universe'!$A$2:$R$9994,12)</f>
        <v>1.0500000000000001E-2</v>
      </c>
      <c r="M502" s="106">
        <f>VLOOKUP($A502,'MG Universe'!$A$2:$R$9994,13)</f>
        <v>1.7</v>
      </c>
      <c r="N502" s="107" t="str">
        <f>VLOOKUP($A502,'MG Universe'!$A$2:$R$9994,14)</f>
        <v>N/A</v>
      </c>
      <c r="O502" s="22" t="str">
        <f>VLOOKUP($A502,'MG Universe'!$A$2:$R$9994,15)</f>
        <v>N/A</v>
      </c>
      <c r="P502" s="23">
        <f>VLOOKUP($A502,'MG Universe'!$A$2:$R$9994,16)</f>
        <v>5.8500000000000003E-2</v>
      </c>
      <c r="Q502" s="109">
        <f>VLOOKUP($A502,'MG Universe'!$A$2:$R$9994,17)</f>
        <v>0</v>
      </c>
      <c r="R502" s="22">
        <f>VLOOKUP($A502,'MG Universe'!$A$2:$R$9994,18)</f>
        <v>0</v>
      </c>
    </row>
    <row r="503" spans="1:18" x14ac:dyDescent="0.55000000000000004">
      <c r="A503" s="18" t="s">
        <v>475</v>
      </c>
      <c r="B503" s="19" t="str">
        <f>VLOOKUP($A503,'MG Universe'!$A$2:$R$9994,2)</f>
        <v>Zoetis Inc</v>
      </c>
      <c r="C503" s="19" t="str">
        <f>VLOOKUP($A503,'MG Universe'!$A$2:$R$9994,3)</f>
        <v>C</v>
      </c>
      <c r="D503" s="19" t="str">
        <f>VLOOKUP($A503,'MG Universe'!$A$2:$R$9994,4)</f>
        <v>E</v>
      </c>
      <c r="E503" s="19" t="str">
        <f>VLOOKUP($A503,'MG Universe'!$A$2:$R$9994,5)</f>
        <v>F</v>
      </c>
      <c r="F503" s="20" t="str">
        <f>VLOOKUP($A503,'MG Universe'!$A$2:$R$9994,6)</f>
        <v>EF</v>
      </c>
      <c r="G503" s="103">
        <f>VLOOKUP($A503,'MG Universe'!$A$2:$R$9994,7)</f>
        <v>42305</v>
      </c>
      <c r="H503" s="22">
        <f>VLOOKUP($A503,'MG Universe'!$A$2:$R$9994,8)</f>
        <v>38.76</v>
      </c>
      <c r="I503" s="22">
        <f>VLOOKUP($A503,'MG Universe'!$A$2:$R$9994,9)</f>
        <v>41.72</v>
      </c>
      <c r="J503" s="23">
        <f>VLOOKUP($A503,'MG Universe'!$A$2:$R$9994,10)</f>
        <v>1.0764</v>
      </c>
      <c r="K503" s="105">
        <f>VLOOKUP($A503,'MG Universe'!$A$2:$R$9994,11)</f>
        <v>41.31</v>
      </c>
      <c r="L503" s="23">
        <f>VLOOKUP($A503,'MG Universe'!$A$2:$R$9994,12)</f>
        <v>9.1000000000000004E-3</v>
      </c>
      <c r="M503" s="106">
        <f>VLOOKUP($A503,'MG Universe'!$A$2:$R$9994,13)</f>
        <v>1</v>
      </c>
      <c r="N503" s="107">
        <f>VLOOKUP($A503,'MG Universe'!$A$2:$R$9994,14)</f>
        <v>2.11</v>
      </c>
      <c r="O503" s="22">
        <f>VLOOKUP($A503,'MG Universe'!$A$2:$R$9994,15)</f>
        <v>-4.21</v>
      </c>
      <c r="P503" s="23">
        <f>VLOOKUP($A503,'MG Universe'!$A$2:$R$9994,16)</f>
        <v>0.16400000000000001</v>
      </c>
      <c r="Q503" s="109">
        <f>VLOOKUP($A503,'MG Universe'!$A$2:$R$9994,17)</f>
        <v>3</v>
      </c>
      <c r="R503" s="22">
        <f>VLOOKUP($A503,'MG Universe'!$A$2:$R$9994,18)</f>
        <v>7.43</v>
      </c>
    </row>
  </sheetData>
  <sheetProtection algorithmName="SHA-512" hashValue="Sjcz9h0GyA295X6B5fu2TlsvPsJKNZXnr1JWkAXPPzHZABK3xSA56c6PlTGnivimfizQQ4nZAjyrU1BruCHn4A==" saltValue="GWLvf+KOOkscFSHGw8QU3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selection activeCell="B4" sqref="B4"/>
    </sheetView>
  </sheetViews>
  <sheetFormatPr defaultRowHeight="14.4" x14ac:dyDescent="0.55000000000000004"/>
  <cols>
    <col min="1" max="1" width="40.83984375" bestFit="1" customWidth="1"/>
    <col min="2" max="2" width="22.15625" bestFit="1" customWidth="1"/>
    <col min="3" max="3" width="23.41796875" customWidth="1"/>
    <col min="4" max="4" width="19.68359375" bestFit="1" customWidth="1"/>
    <col min="5" max="11" width="11.83984375" bestFit="1" customWidth="1"/>
    <col min="12" max="12" width="12.83984375" bestFit="1" customWidth="1"/>
  </cols>
  <sheetData>
    <row r="1" spans="1:6" ht="61.2" x14ac:dyDescent="2.2000000000000002">
      <c r="A1" s="130" t="s">
        <v>0</v>
      </c>
      <c r="B1" s="130"/>
      <c r="C1" s="130"/>
      <c r="D1" s="130"/>
      <c r="E1" s="130"/>
      <c r="F1" s="130"/>
    </row>
    <row r="2" spans="1:6" ht="30.6" x14ac:dyDescent="1.1000000000000001">
      <c r="A2" s="131" t="s">
        <v>1171</v>
      </c>
      <c r="B2" s="131"/>
      <c r="C2" s="131"/>
      <c r="D2" s="131"/>
      <c r="E2" s="131"/>
      <c r="F2" s="131"/>
    </row>
    <row r="3" spans="1:6" ht="15" customHeight="1" x14ac:dyDescent="1.1000000000000001">
      <c r="A3" s="92" t="s">
        <v>1172</v>
      </c>
      <c r="B3" s="93">
        <v>42439</v>
      </c>
      <c r="C3" s="112"/>
      <c r="D3" s="112"/>
      <c r="E3" s="112"/>
      <c r="F3" s="112"/>
    </row>
    <row r="4" spans="1:6" ht="15" customHeight="1" x14ac:dyDescent="1.1000000000000001">
      <c r="A4" s="92" t="s">
        <v>1173</v>
      </c>
      <c r="B4" s="93">
        <f ca="1">TODAY()</f>
        <v>42774</v>
      </c>
      <c r="C4" s="112"/>
      <c r="D4" s="112"/>
      <c r="E4" s="112"/>
      <c r="F4" s="112"/>
    </row>
    <row r="5" spans="1:6" ht="15" customHeight="1" x14ac:dyDescent="0.55000000000000004">
      <c r="A5" s="137" t="str">
        <f ca="1">IF(B4&gt;B3,"Please login to ModernGraham.com to download the most recent version of this sheet.  This version is now expired and will no longer function.","")</f>
        <v>Please login to ModernGraham.com to download the most recent version of this sheet.  This version is now expired and will no longer function.</v>
      </c>
      <c r="B5" s="137"/>
      <c r="C5" s="137"/>
      <c r="D5" s="137"/>
      <c r="E5" s="137"/>
      <c r="F5" s="137"/>
    </row>
    <row r="6" spans="1:6" ht="42" customHeight="1" x14ac:dyDescent="0.55000000000000004">
      <c r="A6" s="137"/>
      <c r="B6" s="137"/>
      <c r="C6" s="137"/>
      <c r="D6" s="137"/>
      <c r="E6" s="137"/>
      <c r="F6" s="137"/>
    </row>
    <row r="7" spans="1:6" ht="30.9" thickBot="1" x14ac:dyDescent="1.1499999999999999">
      <c r="A7" s="131" t="s">
        <v>1174</v>
      </c>
      <c r="B7" s="131"/>
      <c r="C7" s="131"/>
      <c r="D7" s="131"/>
      <c r="E7" s="131"/>
      <c r="F7" s="131"/>
    </row>
    <row r="8" spans="1:6" s="43" customFormat="1" x14ac:dyDescent="0.55000000000000004">
      <c r="A8" s="63" t="s">
        <v>1175</v>
      </c>
      <c r="B8" s="42"/>
      <c r="C8" s="42"/>
      <c r="D8" s="42"/>
      <c r="E8" s="42"/>
      <c r="F8" s="42"/>
    </row>
    <row r="9" spans="1:6" s="44" customFormat="1" x14ac:dyDescent="0.55000000000000004">
      <c r="A9" s="45" t="s">
        <v>24</v>
      </c>
      <c r="B9" s="69"/>
    </row>
    <row r="10" spans="1:6" s="44" customFormat="1" x14ac:dyDescent="0.55000000000000004">
      <c r="A10" s="45" t="s">
        <v>1176</v>
      </c>
      <c r="B10" s="69"/>
    </row>
    <row r="11" spans="1:6" s="44" customFormat="1" x14ac:dyDescent="0.55000000000000004">
      <c r="A11" s="45" t="s">
        <v>15</v>
      </c>
      <c r="B11" s="70"/>
    </row>
    <row r="12" spans="1:6" s="44" customFormat="1" x14ac:dyDescent="0.55000000000000004">
      <c r="A12" s="45" t="s">
        <v>1177</v>
      </c>
      <c r="B12" s="70"/>
    </row>
    <row r="13" spans="1:6" s="43" customFormat="1" ht="12" customHeight="1" thickBot="1" x14ac:dyDescent="0.6">
      <c r="A13" s="42"/>
      <c r="B13" s="42"/>
      <c r="C13" s="42"/>
      <c r="D13" s="42"/>
      <c r="E13" s="42"/>
      <c r="F13" s="42"/>
    </row>
    <row r="14" spans="1:6" s="43" customFormat="1" x14ac:dyDescent="0.55000000000000004">
      <c r="A14" s="46" t="s">
        <v>1178</v>
      </c>
      <c r="B14" s="47"/>
      <c r="C14" s="42"/>
      <c r="D14" s="42"/>
      <c r="E14" s="42"/>
      <c r="F14" s="42"/>
    </row>
    <row r="15" spans="1:6" s="43" customFormat="1" x14ac:dyDescent="0.55000000000000004">
      <c r="A15" s="60" t="s">
        <v>1179</v>
      </c>
      <c r="B15" s="71"/>
      <c r="C15" s="44" t="s">
        <v>1180</v>
      </c>
      <c r="D15" s="42"/>
      <c r="E15" s="42"/>
      <c r="F15" s="42"/>
    </row>
    <row r="16" spans="1:6" s="43" customFormat="1" ht="14.7" thickBot="1" x14ac:dyDescent="0.6">
      <c r="A16" s="60" t="s">
        <v>1181</v>
      </c>
      <c r="B16" s="72" t="s">
        <v>1182</v>
      </c>
      <c r="C16" s="44"/>
      <c r="D16" s="42"/>
      <c r="E16" s="42"/>
      <c r="F16" s="42"/>
    </row>
    <row r="17" spans="1:12" s="43" customFormat="1" x14ac:dyDescent="0.55000000000000004">
      <c r="A17" s="50"/>
      <c r="B17" s="61" t="s">
        <v>1183</v>
      </c>
      <c r="C17" s="62" t="s">
        <v>1184</v>
      </c>
      <c r="D17" s="42"/>
      <c r="E17" s="42"/>
      <c r="F17" s="42"/>
    </row>
    <row r="18" spans="1:12" s="43" customFormat="1" x14ac:dyDescent="0.55000000000000004">
      <c r="A18" s="48" t="s">
        <v>1185</v>
      </c>
      <c r="B18" s="73"/>
      <c r="C18" s="51">
        <f>B18*B$15</f>
        <v>0</v>
      </c>
      <c r="D18" s="42"/>
      <c r="E18" s="42"/>
      <c r="F18" s="42"/>
    </row>
    <row r="19" spans="1:12" s="43" customFormat="1" x14ac:dyDescent="0.55000000000000004">
      <c r="A19" s="48" t="s">
        <v>1186</v>
      </c>
      <c r="B19" s="73"/>
      <c r="C19" s="51">
        <f t="shared" ref="C19:C24" si="0">B19*B$15</f>
        <v>0</v>
      </c>
      <c r="D19" s="42"/>
      <c r="E19" s="42"/>
      <c r="F19" s="42"/>
    </row>
    <row r="20" spans="1:12" s="43" customFormat="1" x14ac:dyDescent="0.55000000000000004">
      <c r="A20" s="48" t="s">
        <v>1187</v>
      </c>
      <c r="B20" s="73"/>
      <c r="C20" s="51">
        <f t="shared" si="0"/>
        <v>0</v>
      </c>
      <c r="D20" s="42"/>
      <c r="E20" s="42"/>
      <c r="F20" s="42"/>
    </row>
    <row r="21" spans="1:12" s="43" customFormat="1" x14ac:dyDescent="0.55000000000000004">
      <c r="A21" s="48" t="s">
        <v>1188</v>
      </c>
      <c r="B21" s="73"/>
      <c r="C21" s="51">
        <f t="shared" si="0"/>
        <v>0</v>
      </c>
      <c r="D21" s="42"/>
      <c r="E21" s="42"/>
      <c r="F21" s="42"/>
    </row>
    <row r="22" spans="1:12" s="43" customFormat="1" x14ac:dyDescent="0.55000000000000004">
      <c r="A22" s="48" t="s">
        <v>1189</v>
      </c>
      <c r="B22" s="73"/>
      <c r="C22" s="51">
        <f t="shared" si="0"/>
        <v>0</v>
      </c>
      <c r="D22" s="42"/>
      <c r="E22" s="42"/>
      <c r="F22" s="42"/>
    </row>
    <row r="23" spans="1:12" s="43" customFormat="1" x14ac:dyDescent="0.55000000000000004">
      <c r="A23" s="48" t="s">
        <v>1190</v>
      </c>
      <c r="B23" s="73"/>
      <c r="C23" s="51">
        <f t="shared" si="0"/>
        <v>0</v>
      </c>
      <c r="D23" s="42"/>
      <c r="E23" s="42"/>
      <c r="F23" s="42"/>
    </row>
    <row r="24" spans="1:12" s="43" customFormat="1" ht="14.7" thickBot="1" x14ac:dyDescent="0.6">
      <c r="A24" s="49" t="s">
        <v>1191</v>
      </c>
      <c r="B24" s="74"/>
      <c r="C24" s="52">
        <f t="shared" si="0"/>
        <v>0</v>
      </c>
      <c r="D24" s="42"/>
      <c r="E24" s="42"/>
      <c r="F24" s="42"/>
    </row>
    <row r="25" spans="1:12" s="43" customFormat="1" ht="14.7" thickBot="1" x14ac:dyDescent="0.6">
      <c r="A25" s="42"/>
      <c r="B25" s="42"/>
      <c r="C25" s="42"/>
      <c r="D25" s="42"/>
      <c r="E25" s="42"/>
      <c r="F25" s="42"/>
    </row>
    <row r="26" spans="1:12" s="43" customFormat="1" x14ac:dyDescent="0.55000000000000004">
      <c r="A26" s="53" t="s">
        <v>1192</v>
      </c>
      <c r="B26" s="54" t="s">
        <v>1193</v>
      </c>
      <c r="C26" s="54" t="s">
        <v>1194</v>
      </c>
      <c r="D26" s="54" t="s">
        <v>1195</v>
      </c>
      <c r="E26" s="54" t="s">
        <v>1196</v>
      </c>
      <c r="F26" s="54" t="s">
        <v>1197</v>
      </c>
      <c r="G26" s="54" t="s">
        <v>1198</v>
      </c>
      <c r="H26" s="54" t="s">
        <v>1199</v>
      </c>
      <c r="I26" s="54" t="s">
        <v>1200</v>
      </c>
      <c r="J26" s="54" t="s">
        <v>1201</v>
      </c>
      <c r="K26" s="54" t="s">
        <v>1202</v>
      </c>
      <c r="L26" s="47" t="s">
        <v>1203</v>
      </c>
    </row>
    <row r="27" spans="1:12" s="43" customFormat="1" x14ac:dyDescent="0.55000000000000004">
      <c r="A27" s="55" t="s">
        <v>1204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6"/>
    </row>
    <row r="28" spans="1:12" s="43" customFormat="1" ht="14.7" thickBot="1" x14ac:dyDescent="0.6">
      <c r="A28" s="56" t="s">
        <v>1205</v>
      </c>
      <c r="B28" s="57" t="str">
        <f ca="1">IF($B$4&gt;$B$3,"",(B27*(5/15))+(C27*(4/15))+(D27*(3/15))+(E27*(2/15))+(F27*(1/15)))</f>
        <v/>
      </c>
      <c r="C28" s="57" t="str">
        <f t="shared" ref="C28:H28" ca="1" si="1">IF($B$4&gt;$B$3,"",(C27*(5/15))+(D27*(4/15))+(E27*(3/15))+(F27*(2/15))+(G27*(1/15)))</f>
        <v/>
      </c>
      <c r="D28" s="57" t="str">
        <f t="shared" ca="1" si="1"/>
        <v/>
      </c>
      <c r="E28" s="57" t="str">
        <f t="shared" ca="1" si="1"/>
        <v/>
      </c>
      <c r="F28" s="57" t="str">
        <f t="shared" ca="1" si="1"/>
        <v/>
      </c>
      <c r="G28" s="57" t="str">
        <f t="shared" ca="1" si="1"/>
        <v/>
      </c>
      <c r="H28" s="57" t="str">
        <f t="shared" ca="1" si="1"/>
        <v/>
      </c>
      <c r="I28" s="58"/>
      <c r="J28" s="58"/>
      <c r="K28" s="58"/>
      <c r="L28" s="59"/>
    </row>
    <row r="29" spans="1:12" s="43" customFormat="1" x14ac:dyDescent="0.55000000000000004">
      <c r="A29" s="65" t="s">
        <v>1206</v>
      </c>
      <c r="B29" s="66" t="str">
        <f>IF(B27&gt;0,"Yes","No")</f>
        <v>No</v>
      </c>
      <c r="C29" s="66" t="str">
        <f t="shared" ref="C29:L29" si="2">IF(C27&gt;0,"Yes","No")</f>
        <v>No</v>
      </c>
      <c r="D29" s="66" t="str">
        <f t="shared" si="2"/>
        <v>No</v>
      </c>
      <c r="E29" s="66" t="str">
        <f t="shared" si="2"/>
        <v>No</v>
      </c>
      <c r="F29" s="66" t="str">
        <f t="shared" si="2"/>
        <v>No</v>
      </c>
      <c r="G29" s="66" t="str">
        <f t="shared" si="2"/>
        <v>No</v>
      </c>
      <c r="H29" s="66" t="str">
        <f t="shared" si="2"/>
        <v>No</v>
      </c>
      <c r="I29" s="66" t="str">
        <f t="shared" si="2"/>
        <v>No</v>
      </c>
      <c r="J29" s="66" t="str">
        <f t="shared" si="2"/>
        <v>No</v>
      </c>
      <c r="K29" s="66" t="str">
        <f t="shared" si="2"/>
        <v>No</v>
      </c>
      <c r="L29" s="66" t="str">
        <f t="shared" si="2"/>
        <v>No</v>
      </c>
    </row>
    <row r="30" spans="1:12" s="43" customFormat="1" x14ac:dyDescent="0.55000000000000004">
      <c r="A30" s="67" t="s">
        <v>1207</v>
      </c>
      <c r="B30" s="68">
        <f>COUNTIF(B29:K29,"Yes")</f>
        <v>0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2" s="43" customFormat="1" x14ac:dyDescent="0.55000000000000004">
      <c r="A31" s="67" t="s">
        <v>1208</v>
      </c>
      <c r="B31" s="68">
        <f>COUNTIF(B29:F29,"Yes")</f>
        <v>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 s="43" customFormat="1" ht="14.7" thickBot="1" x14ac:dyDescent="0.6">
      <c r="A32" s="67"/>
      <c r="B32" s="68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s="43" customFormat="1" x14ac:dyDescent="0.55000000000000004">
      <c r="A33" s="53" t="s">
        <v>1209</v>
      </c>
      <c r="B33" s="54" t="s">
        <v>1193</v>
      </c>
      <c r="C33" s="54" t="s">
        <v>1194</v>
      </c>
      <c r="D33" s="54" t="s">
        <v>1195</v>
      </c>
      <c r="E33" s="54" t="s">
        <v>1196</v>
      </c>
      <c r="F33" s="54" t="s">
        <v>1197</v>
      </c>
      <c r="G33" s="54" t="s">
        <v>1198</v>
      </c>
      <c r="H33" s="54" t="s">
        <v>1199</v>
      </c>
      <c r="I33" s="54" t="s">
        <v>1200</v>
      </c>
      <c r="J33" s="54" t="s">
        <v>1201</v>
      </c>
      <c r="K33" s="54" t="s">
        <v>1202</v>
      </c>
      <c r="L33" s="47" t="s">
        <v>1203</v>
      </c>
    </row>
    <row r="34" spans="1:12" s="43" customFormat="1" x14ac:dyDescent="0.55000000000000004">
      <c r="A34" s="55" t="s">
        <v>1210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8"/>
    </row>
    <row r="35" spans="1:12" s="43" customFormat="1" ht="14.7" thickBot="1" x14ac:dyDescent="0.6">
      <c r="A35" s="56" t="s">
        <v>1211</v>
      </c>
      <c r="B35" s="57" t="str">
        <f>IF(B34&gt;0,"Yes","No")</f>
        <v>No</v>
      </c>
      <c r="C35" s="57" t="str">
        <f t="shared" ref="C35:L35" si="3">IF(C34&gt;0,"Yes","No")</f>
        <v>No</v>
      </c>
      <c r="D35" s="57" t="str">
        <f t="shared" si="3"/>
        <v>No</v>
      </c>
      <c r="E35" s="57" t="str">
        <f t="shared" si="3"/>
        <v>No</v>
      </c>
      <c r="F35" s="57" t="str">
        <f t="shared" si="3"/>
        <v>No</v>
      </c>
      <c r="G35" s="57" t="str">
        <f t="shared" si="3"/>
        <v>No</v>
      </c>
      <c r="H35" s="57" t="str">
        <f t="shared" si="3"/>
        <v>No</v>
      </c>
      <c r="I35" s="57" t="str">
        <f t="shared" si="3"/>
        <v>No</v>
      </c>
      <c r="J35" s="57" t="str">
        <f t="shared" si="3"/>
        <v>No</v>
      </c>
      <c r="K35" s="57" t="str">
        <f t="shared" si="3"/>
        <v>No</v>
      </c>
      <c r="L35" s="57" t="str">
        <f t="shared" si="3"/>
        <v>No</v>
      </c>
    </row>
    <row r="36" spans="1:12" s="43" customFormat="1" x14ac:dyDescent="0.55000000000000004">
      <c r="A36" s="67" t="s">
        <v>1212</v>
      </c>
      <c r="B36" s="68">
        <f>COUNTIF(B35:K35,"Yes")</f>
        <v>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1:12" s="43" customFormat="1" x14ac:dyDescent="0.55000000000000004">
      <c r="A37" s="67"/>
      <c r="B37" s="68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12" ht="60.75" customHeight="1" x14ac:dyDescent="0.55000000000000004">
      <c r="A38" s="136" t="s">
        <v>1213</v>
      </c>
      <c r="B38" s="136"/>
      <c r="C38" s="136"/>
      <c r="D38" s="136"/>
      <c r="E38" s="136"/>
      <c r="F38" s="136"/>
    </row>
    <row r="39" spans="1:12" ht="25.5" customHeight="1" x14ac:dyDescent="0.55000000000000004">
      <c r="A39" s="138" t="str">
        <f>IF(B16="No","Defensive Investor; must pass 6 out of the following 7 tests.","Defensive Investor; must pass 6 of the following tests.")</f>
        <v>Defensive Investor; must pass 6 out of the following 7 tests.</v>
      </c>
      <c r="B39" s="138"/>
      <c r="C39" s="138"/>
      <c r="D39" s="138"/>
      <c r="E39" s="138"/>
      <c r="F39" s="138"/>
    </row>
    <row r="40" spans="1:12" ht="28.8" x14ac:dyDescent="0.55000000000000004">
      <c r="A40" s="80"/>
      <c r="B40" s="80" t="s">
        <v>1214</v>
      </c>
      <c r="C40" s="80" t="s">
        <v>1215</v>
      </c>
      <c r="D40" s="81">
        <f>B12</f>
        <v>0</v>
      </c>
      <c r="E40" s="80" t="str">
        <f>IF(D40&gt;2000000000,"Pass","Fail")</f>
        <v>Fail</v>
      </c>
      <c r="F40" s="79">
        <f>IF(E40="Pass",1,0)</f>
        <v>0</v>
      </c>
    </row>
    <row r="41" spans="1:12" ht="28.8" x14ac:dyDescent="0.55000000000000004">
      <c r="A41" s="80" t="str">
        <f>IF(B16="Yes","This test is not required for Financial Companies.","")</f>
        <v/>
      </c>
      <c r="B41" s="80" t="s">
        <v>1216</v>
      </c>
      <c r="C41" s="80" t="s">
        <v>1217</v>
      </c>
      <c r="D41" s="82" t="e">
        <f>C18/C19</f>
        <v>#DIV/0!</v>
      </c>
      <c r="E41" s="80" t="e">
        <f>IF(B16="Yes","N/A",IF(D41&gt;1.99,"Pass","Fail"))</f>
        <v>#DIV/0!</v>
      </c>
      <c r="F41" s="79" t="e">
        <f t="shared" ref="F41:F46" si="4">IF(E41="Pass",1,0)</f>
        <v>#DIV/0!</v>
      </c>
    </row>
    <row r="42" spans="1:12" ht="28.8" x14ac:dyDescent="0.55000000000000004">
      <c r="A42" s="80"/>
      <c r="B42" s="80" t="s">
        <v>1218</v>
      </c>
      <c r="C42" s="80" t="s">
        <v>1219</v>
      </c>
      <c r="D42" s="83"/>
      <c r="E42" s="80" t="str">
        <f>IF(B30=10,"Pass","Fail")</f>
        <v>Fail</v>
      </c>
      <c r="F42" s="79">
        <f t="shared" si="4"/>
        <v>0</v>
      </c>
    </row>
    <row r="43" spans="1:12" ht="28.8" x14ac:dyDescent="0.55000000000000004">
      <c r="A43" s="80"/>
      <c r="B43" s="80" t="s">
        <v>1220</v>
      </c>
      <c r="C43" s="80" t="s">
        <v>1221</v>
      </c>
      <c r="D43" s="83"/>
      <c r="E43" s="80" t="str">
        <f>IF(B36=10,"Pass","Fail")</f>
        <v>Fail</v>
      </c>
      <c r="F43" s="79">
        <f t="shared" si="4"/>
        <v>0</v>
      </c>
    </row>
    <row r="44" spans="1:12" ht="57.6" x14ac:dyDescent="0.55000000000000004">
      <c r="A44" s="80"/>
      <c r="B44" s="80" t="s">
        <v>1222</v>
      </c>
      <c r="C44" s="80" t="s">
        <v>1223</v>
      </c>
      <c r="D44" s="84" t="e">
        <f>(AVERAGE(B27:D27)-AVERAGE(I27:K27))/AVERAGE(I27:K27)</f>
        <v>#DIV/0!</v>
      </c>
      <c r="E44" s="80" t="e">
        <f>IF(D44&gt;0.329,"Pass","Fail")</f>
        <v>#DIV/0!</v>
      </c>
      <c r="F44" s="79" t="e">
        <f t="shared" si="4"/>
        <v>#DIV/0!</v>
      </c>
    </row>
    <row r="45" spans="1:12" x14ac:dyDescent="0.55000000000000004">
      <c r="A45" s="80"/>
      <c r="B45" s="80" t="s">
        <v>1224</v>
      </c>
      <c r="C45" s="80" t="s">
        <v>1225</v>
      </c>
      <c r="D45" s="82" t="e">
        <f ca="1">B11/B28</f>
        <v>#VALUE!</v>
      </c>
      <c r="E45" s="80" t="e">
        <f ca="1">IF(D45&lt;20,"Pass","Fail")</f>
        <v>#VALUE!</v>
      </c>
      <c r="F45" s="79" t="e">
        <f t="shared" ca="1" si="4"/>
        <v>#VALUE!</v>
      </c>
    </row>
    <row r="46" spans="1:12" ht="28.8" x14ac:dyDescent="0.55000000000000004">
      <c r="A46" s="80"/>
      <c r="B46" s="80" t="s">
        <v>1226</v>
      </c>
      <c r="C46" s="80" t="s">
        <v>1227</v>
      </c>
      <c r="D46" s="85" t="e">
        <f>B11/((C21-C23)/C24)</f>
        <v>#DIV/0!</v>
      </c>
      <c r="E46" s="80" t="e">
        <f ca="1">IF(OR(D46&lt;2.5,(D45*D46)&lt;50),"Pass","Fail")</f>
        <v>#DIV/0!</v>
      </c>
      <c r="F46" s="79" t="e">
        <f t="shared" ca="1" si="4"/>
        <v>#DIV/0!</v>
      </c>
    </row>
    <row r="47" spans="1:12" x14ac:dyDescent="0.55000000000000004">
      <c r="A47" s="80"/>
      <c r="B47" s="83"/>
      <c r="C47" s="80" t="s">
        <v>1228</v>
      </c>
      <c r="D47" s="83" t="e">
        <f>SUM(F40:F46)</f>
        <v>#DIV/0!</v>
      </c>
      <c r="E47" s="83"/>
      <c r="F47" s="79"/>
    </row>
    <row r="48" spans="1:12" x14ac:dyDescent="0.55000000000000004">
      <c r="A48" s="80"/>
      <c r="B48" s="135" t="s">
        <v>1229</v>
      </c>
      <c r="C48" s="135"/>
      <c r="D48" s="90" t="e">
        <f>IF(D47&gt;5,"Yes","No")</f>
        <v>#DIV/0!</v>
      </c>
      <c r="E48" s="83"/>
      <c r="F48" s="79"/>
    </row>
    <row r="49" spans="1:6" x14ac:dyDescent="0.55000000000000004">
      <c r="A49" s="80"/>
      <c r="B49" s="83"/>
      <c r="C49" s="83"/>
      <c r="D49" s="83"/>
      <c r="E49" s="83"/>
      <c r="F49" s="79"/>
    </row>
    <row r="50" spans="1:6" ht="38.25" customHeight="1" x14ac:dyDescent="0.55000000000000004">
      <c r="A50" s="138" t="str">
        <f>IF(B16="No","Enterprising Investor; must pass 4 out of the following 5 tests, or be suitable for the Defensive Investor.","Enterprising Investor; must pass 3 of the following tests or be suitable for the Defensive Investor.")</f>
        <v>Enterprising Investor; must pass 4 out of the following 5 tests, or be suitable for the Defensive Investor.</v>
      </c>
      <c r="B50" s="138"/>
      <c r="C50" s="138"/>
      <c r="D50" s="138"/>
      <c r="E50" s="138"/>
      <c r="F50" s="138"/>
    </row>
    <row r="51" spans="1:6" ht="28.8" x14ac:dyDescent="0.55000000000000004">
      <c r="A51" s="80" t="str">
        <f>IF(B16="Yes","This test is not required for Financial Companies.","")</f>
        <v/>
      </c>
      <c r="B51" s="80" t="s">
        <v>1230</v>
      </c>
      <c r="C51" s="80" t="s">
        <v>1231</v>
      </c>
      <c r="D51" s="82" t="e">
        <f>C18/C19</f>
        <v>#DIV/0!</v>
      </c>
      <c r="E51" s="80" t="e">
        <f>IF(B16="Yes","N/A",IF(D51&gt;1.49,"Pass","Fail"))</f>
        <v>#DIV/0!</v>
      </c>
      <c r="F51" s="79" t="e">
        <f t="shared" ref="F51:F55" si="5">IF(E51="Pass",1,0)</f>
        <v>#DIV/0!</v>
      </c>
    </row>
    <row r="52" spans="1:6" ht="28.8" x14ac:dyDescent="0.55000000000000004">
      <c r="A52" s="80" t="str">
        <f>IF(B16="Yes","This test is not required for Financial Companies.","")</f>
        <v/>
      </c>
      <c r="B52" s="80" t="s">
        <v>1216</v>
      </c>
      <c r="C52" s="80" t="s">
        <v>1232</v>
      </c>
      <c r="D52" s="82" t="e">
        <f>C20/(C18-C19)</f>
        <v>#DIV/0!</v>
      </c>
      <c r="E52" s="80" t="e">
        <f>IF(B16="Yes","N/A",IF(D52&lt;0,"Fail",IF(D52&lt;1.1,"Pass","Fail")))</f>
        <v>#DIV/0!</v>
      </c>
      <c r="F52" s="79" t="e">
        <f t="shared" si="5"/>
        <v>#DIV/0!</v>
      </c>
    </row>
    <row r="53" spans="1:6" x14ac:dyDescent="0.55000000000000004">
      <c r="A53" s="80"/>
      <c r="B53" s="80" t="s">
        <v>1218</v>
      </c>
      <c r="C53" s="80" t="s">
        <v>1233</v>
      </c>
      <c r="D53" s="83"/>
      <c r="E53" s="80" t="str">
        <f>IF(B31=5,"Pass","Fail")</f>
        <v>Fail</v>
      </c>
      <c r="F53" s="79">
        <f t="shared" si="5"/>
        <v>0</v>
      </c>
    </row>
    <row r="54" spans="1:6" x14ac:dyDescent="0.55000000000000004">
      <c r="A54" s="80"/>
      <c r="B54" s="80" t="s">
        <v>1220</v>
      </c>
      <c r="C54" s="80" t="s">
        <v>1234</v>
      </c>
      <c r="D54" s="83"/>
      <c r="E54" s="80" t="str">
        <f>IF(B34&gt;0,"Pass","Fail")</f>
        <v>Fail</v>
      </c>
      <c r="F54" s="79">
        <f t="shared" si="5"/>
        <v>0</v>
      </c>
    </row>
    <row r="55" spans="1:6" ht="28.8" x14ac:dyDescent="0.55000000000000004">
      <c r="A55" s="80"/>
      <c r="B55" s="80" t="s">
        <v>1222</v>
      </c>
      <c r="C55" s="80" t="s">
        <v>1235</v>
      </c>
      <c r="D55" s="83"/>
      <c r="E55" s="80" t="str">
        <f ca="1">IF(B28&gt;F28,"Pass","Fail")</f>
        <v>Fail</v>
      </c>
      <c r="F55" s="79">
        <f t="shared" ca="1" si="5"/>
        <v>0</v>
      </c>
    </row>
    <row r="56" spans="1:6" x14ac:dyDescent="0.55000000000000004">
      <c r="A56" s="79"/>
      <c r="B56" s="83"/>
      <c r="C56" s="80" t="s">
        <v>1228</v>
      </c>
      <c r="D56" s="83" t="e">
        <f>SUM(F51:F55)</f>
        <v>#DIV/0!</v>
      </c>
      <c r="E56" s="79"/>
      <c r="F56" s="79"/>
    </row>
    <row r="57" spans="1:6" x14ac:dyDescent="0.55000000000000004">
      <c r="A57" s="79"/>
      <c r="B57" s="135" t="s">
        <v>1236</v>
      </c>
      <c r="C57" s="135"/>
      <c r="D57" s="90" t="e">
        <f>IF(B16="Yes",IF(D56=3,"Yes","No"),IF(D56&gt;3,"Yes","No"))</f>
        <v>#DIV/0!</v>
      </c>
      <c r="E57" s="79"/>
      <c r="F57" s="79"/>
    </row>
    <row r="58" spans="1:6" x14ac:dyDescent="0.55000000000000004">
      <c r="A58" s="79"/>
      <c r="B58" s="79"/>
      <c r="C58" s="79"/>
      <c r="D58" s="79"/>
      <c r="E58" s="79"/>
      <c r="F58" s="79"/>
    </row>
    <row r="59" spans="1:6" ht="21.75" customHeight="1" x14ac:dyDescent="0.55000000000000004">
      <c r="A59" s="136" t="s">
        <v>1237</v>
      </c>
      <c r="B59" s="136"/>
      <c r="C59" s="136"/>
      <c r="D59" s="79"/>
      <c r="E59" s="79"/>
      <c r="F59" s="79"/>
    </row>
    <row r="60" spans="1:6" x14ac:dyDescent="0.55000000000000004">
      <c r="A60" s="80"/>
      <c r="B60" s="80" t="s">
        <v>1205</v>
      </c>
      <c r="C60" s="81" t="str">
        <f ca="1">B28</f>
        <v/>
      </c>
      <c r="D60" s="79"/>
      <c r="E60" s="79"/>
      <c r="F60" s="79"/>
    </row>
    <row r="61" spans="1:6" x14ac:dyDescent="0.55000000000000004">
      <c r="A61" s="80"/>
      <c r="B61" s="80" t="s">
        <v>1238</v>
      </c>
      <c r="C61" s="84" t="e">
        <f ca="1">Background!E7</f>
        <v>#VALUE!</v>
      </c>
      <c r="D61" s="79"/>
      <c r="E61" s="79"/>
      <c r="F61" s="79"/>
    </row>
    <row r="62" spans="1:6" x14ac:dyDescent="0.55000000000000004">
      <c r="A62" s="80"/>
      <c r="B62" s="87" t="s">
        <v>17</v>
      </c>
      <c r="C62" s="88" t="e">
        <f ca="1">C60*(8.5+(2*(C61*100)))</f>
        <v>#VALUE!</v>
      </c>
      <c r="D62" s="79"/>
      <c r="E62" s="79"/>
      <c r="F62" s="79"/>
    </row>
    <row r="63" spans="1:6" x14ac:dyDescent="0.55000000000000004">
      <c r="A63" s="80"/>
      <c r="B63" s="87" t="s">
        <v>1239</v>
      </c>
      <c r="C63" s="87" t="e">
        <f ca="1">IF((B11/C62)&lt;75.01%,"Undervalued",IF((B11/C62)&lt;110%,"Fairly Valued","Overvalued"))</f>
        <v>#VALUE!</v>
      </c>
      <c r="D63" s="79"/>
      <c r="E63" s="79"/>
      <c r="F63" s="79"/>
    </row>
    <row r="64" spans="1:6" ht="28.8" x14ac:dyDescent="0.55000000000000004">
      <c r="A64" s="80"/>
      <c r="B64" s="80" t="s">
        <v>1240</v>
      </c>
      <c r="C64" s="86" t="e">
        <f ca="1">C60*14.5</f>
        <v>#VALUE!</v>
      </c>
      <c r="D64" s="79"/>
      <c r="E64" s="79"/>
      <c r="F64" s="79"/>
    </row>
    <row r="65" spans="1:6" ht="28.8" x14ac:dyDescent="0.55000000000000004">
      <c r="A65" s="80"/>
      <c r="B65" s="80" t="s">
        <v>1241</v>
      </c>
      <c r="C65" s="86" t="e">
        <f ca="1">C60*(8.5)</f>
        <v>#VALUE!</v>
      </c>
      <c r="D65" s="79"/>
      <c r="E65" s="79"/>
      <c r="F65" s="79"/>
    </row>
    <row r="66" spans="1:6" ht="28.8" x14ac:dyDescent="0.55000000000000004">
      <c r="A66" s="80"/>
      <c r="B66" s="80" t="s">
        <v>1242</v>
      </c>
      <c r="C66" s="84" t="e">
        <f ca="1">(((C67/C60)-8.5)/2)/100</f>
        <v>#VALUE!</v>
      </c>
      <c r="D66" s="79"/>
      <c r="E66" s="79"/>
      <c r="F66" s="79"/>
    </row>
    <row r="67" spans="1:6" x14ac:dyDescent="0.55000000000000004">
      <c r="A67" s="80"/>
      <c r="B67" s="80" t="s">
        <v>15</v>
      </c>
      <c r="C67" s="81">
        <f>B11</f>
        <v>0</v>
      </c>
      <c r="D67" s="79"/>
      <c r="E67" s="79"/>
      <c r="F67" s="79"/>
    </row>
    <row r="68" spans="1:6" x14ac:dyDescent="0.55000000000000004">
      <c r="A68" s="80"/>
      <c r="B68" s="80" t="s">
        <v>1243</v>
      </c>
      <c r="C68" s="84" t="e">
        <f ca="1">C67/C62</f>
        <v>#VALUE!</v>
      </c>
      <c r="D68" s="79"/>
      <c r="E68" s="79"/>
      <c r="F68" s="79"/>
    </row>
    <row r="70" spans="1:6" x14ac:dyDescent="0.55000000000000004">
      <c r="A70" s="136" t="s">
        <v>1244</v>
      </c>
      <c r="B70" s="136"/>
      <c r="C70" s="136"/>
    </row>
    <row r="71" spans="1:6" x14ac:dyDescent="0.55000000000000004">
      <c r="B71" t="s">
        <v>1245</v>
      </c>
      <c r="C71" s="6" t="e">
        <f>(C18-C23)/C24</f>
        <v>#DIV/0!</v>
      </c>
    </row>
    <row r="72" spans="1:6" x14ac:dyDescent="0.55000000000000004">
      <c r="B72" t="s">
        <v>39</v>
      </c>
      <c r="C72" s="6" t="e">
        <f>SQRT(22.5*B27*((C21-C23)/C24))</f>
        <v>#DIV/0!</v>
      </c>
    </row>
    <row r="73" spans="1:6" x14ac:dyDescent="0.55000000000000004">
      <c r="B73" t="s">
        <v>1246</v>
      </c>
      <c r="C73" s="7" t="e">
        <f ca="1">C67/C60</f>
        <v>#VALUE!</v>
      </c>
    </row>
    <row r="74" spans="1:6" x14ac:dyDescent="0.55000000000000004">
      <c r="B74" t="s">
        <v>35</v>
      </c>
      <c r="C74" s="7" t="e">
        <f>C18/C19</f>
        <v>#DIV/0!</v>
      </c>
    </row>
    <row r="75" spans="1:6" x14ac:dyDescent="0.55000000000000004">
      <c r="B75" t="s">
        <v>1247</v>
      </c>
      <c r="C75" s="89" t="e">
        <f>C67/((C21-C23)/C24)</f>
        <v>#DIV/0!</v>
      </c>
    </row>
    <row r="76" spans="1:6" x14ac:dyDescent="0.55000000000000004">
      <c r="B76" t="s">
        <v>1248</v>
      </c>
      <c r="C76" s="36" t="e">
        <f>B34/C67</f>
        <v>#DIV/0!</v>
      </c>
    </row>
  </sheetData>
  <sheetProtection algorithmName="SHA-512" hashValue="FBLudwVlX27A6Xus8pPI1FgK2NZnpQyWzbPcs8XDYHkCbXmqv7law42hfYaiancS/iyb/6trhpMvXldD7Q9veA==" saltValue="B+olZS0X19ZRj2TSsw8WqA==" spinCount="100000" sheet="1" objects="1" scenarios="1"/>
  <protectedRanges>
    <protectedRange sqref="B34:L34" name="Dividends"/>
    <protectedRange sqref="B27:L27" name="EPS"/>
    <protectedRange sqref="B9:B12" name="Basic"/>
    <protectedRange sqref="B15:B16" name="Multiplier and Financial"/>
    <protectedRange sqref="B18:B24" name="Balance Sheet"/>
  </protectedRanges>
  <mergeCells count="11">
    <mergeCell ref="B57:C57"/>
    <mergeCell ref="A59:C59"/>
    <mergeCell ref="A70:C70"/>
    <mergeCell ref="A5:F6"/>
    <mergeCell ref="A1:F1"/>
    <mergeCell ref="A2:F2"/>
    <mergeCell ref="A38:F38"/>
    <mergeCell ref="A39:F39"/>
    <mergeCell ref="A50:F50"/>
    <mergeCell ref="A7:F7"/>
    <mergeCell ref="B48:C4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Background!$A$1:$A$2</xm:f>
          </x14:formula1>
          <xm:sqref>B16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4.4" x14ac:dyDescent="0.55000000000000004"/>
  <cols>
    <col min="4" max="4" width="11" customWidth="1"/>
  </cols>
  <sheetData>
    <row r="1" spans="1:5" x14ac:dyDescent="0.55000000000000004">
      <c r="A1" t="s">
        <v>1249</v>
      </c>
      <c r="D1" s="40" t="s">
        <v>1250</v>
      </c>
      <c r="E1" s="40"/>
    </row>
    <row r="2" spans="1:5" ht="25.5" x14ac:dyDescent="0.55000000000000004">
      <c r="A2" t="s">
        <v>1182</v>
      </c>
      <c r="D2" s="40" t="s">
        <v>1251</v>
      </c>
      <c r="E2" s="64" t="str">
        <f ca="1">'Valuation Calculator'!B28</f>
        <v/>
      </c>
    </row>
    <row r="3" spans="1:5" ht="25.5" x14ac:dyDescent="0.55000000000000004">
      <c r="D3" s="40" t="s">
        <v>1252</v>
      </c>
      <c r="E3" s="64" t="str">
        <f ca="1">'Valuation Calculator'!F28</f>
        <v/>
      </c>
    </row>
    <row r="4" spans="1:5" x14ac:dyDescent="0.55000000000000004">
      <c r="D4" s="40" t="s">
        <v>1253</v>
      </c>
      <c r="E4" s="41" t="e">
        <f ca="1">(E2-E3)/E3</f>
        <v>#VALUE!</v>
      </c>
    </row>
    <row r="5" spans="1:5" ht="25.5" x14ac:dyDescent="0.55000000000000004">
      <c r="D5" s="40" t="s">
        <v>1254</v>
      </c>
      <c r="E5" s="41" t="e">
        <f ca="1">E4/5</f>
        <v>#VALUE!</v>
      </c>
    </row>
    <row r="6" spans="1:5" ht="25.5" x14ac:dyDescent="0.55000000000000004">
      <c r="D6" s="40" t="s">
        <v>1255</v>
      </c>
      <c r="E6" s="41" t="e">
        <f ca="1">E5*0.75</f>
        <v>#VALUE!</v>
      </c>
    </row>
    <row r="7" spans="1:5" ht="25.5" x14ac:dyDescent="0.55000000000000004">
      <c r="D7" s="40" t="s">
        <v>1256</v>
      </c>
      <c r="E7" s="41" t="e">
        <f ca="1">IF(E6&gt;15%,15%,IF(E6&lt;-4.25%,-4.25%,E6))</f>
        <v>#VALUE!</v>
      </c>
    </row>
  </sheetData>
  <sheetProtection password="C7C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Market Overview</vt:lpstr>
      <vt:lpstr>Watch List</vt:lpstr>
      <vt:lpstr>Latest Updates</vt:lpstr>
      <vt:lpstr>MG Universe</vt:lpstr>
      <vt:lpstr>DJIA</vt:lpstr>
      <vt:lpstr>S&amp;P 500</vt:lpstr>
      <vt:lpstr>Valuation Calculator</vt:lpstr>
      <vt:lpstr>Background</vt:lpstr>
      <vt:lpstr>__Anonymous_Sheet_DB__1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Clark</dc:creator>
  <cp:keywords/>
  <dc:description/>
  <cp:lastModifiedBy>Benjamin Clark</cp:lastModifiedBy>
  <cp:revision/>
  <dcterms:created xsi:type="dcterms:W3CDTF">2015-07-29T12:20:13Z</dcterms:created>
  <dcterms:modified xsi:type="dcterms:W3CDTF">2017-02-08T13:01:38Z</dcterms:modified>
  <cp:category/>
  <cp:contentStatus/>
</cp:coreProperties>
</file>